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ontass\Desktop\TP 001_2023 CM SJPonte\"/>
    </mc:Choice>
  </mc:AlternateContent>
  <xr:revisionPtr revIDLastSave="0" documentId="13_ncr:1_{688C7C8B-E2F1-4A4D-801B-E39BCA6D94C1}" xr6:coauthVersionLast="47" xr6:coauthVersionMax="47" xr10:uidLastSave="{00000000-0000-0000-0000-000000000000}"/>
  <bookViews>
    <workbookView xWindow="-120" yWindow="-120" windowWidth="20730" windowHeight="11160" xr2:uid="{177C353A-DB5E-47DB-BD30-1874F157BD3A}"/>
  </bookViews>
  <sheets>
    <sheet name="Plan"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0" i="2" l="1"/>
  <c r="I220" i="2" s="1"/>
  <c r="I221" i="2" s="1"/>
  <c r="H217" i="2"/>
  <c r="I217" i="2" s="1"/>
  <c r="I216" i="2"/>
  <c r="H216" i="2"/>
  <c r="H215" i="2"/>
  <c r="I215" i="2" s="1"/>
  <c r="I214" i="2"/>
  <c r="H214" i="2"/>
  <c r="H213" i="2"/>
  <c r="I213" i="2" s="1"/>
  <c r="I212" i="2"/>
  <c r="H212" i="2"/>
  <c r="H211" i="2"/>
  <c r="I211" i="2" s="1"/>
  <c r="I210" i="2"/>
  <c r="H210" i="2"/>
  <c r="H209" i="2"/>
  <c r="I209" i="2" s="1"/>
  <c r="I208" i="2"/>
  <c r="H208" i="2"/>
  <c r="H207" i="2"/>
  <c r="I207" i="2" s="1"/>
  <c r="I206" i="2"/>
  <c r="H206" i="2"/>
  <c r="H205" i="2"/>
  <c r="I205" i="2" s="1"/>
  <c r="I204" i="2"/>
  <c r="H204" i="2"/>
  <c r="H203" i="2"/>
  <c r="I203" i="2" s="1"/>
  <c r="I202" i="2"/>
  <c r="H202" i="2"/>
  <c r="H201" i="2"/>
  <c r="I201" i="2" s="1"/>
  <c r="I200" i="2"/>
  <c r="H200" i="2"/>
  <c r="G200" i="2"/>
  <c r="H199" i="2"/>
  <c r="I199" i="2" s="1"/>
  <c r="I198" i="2"/>
  <c r="H198" i="2"/>
  <c r="H197" i="2"/>
  <c r="I197" i="2" s="1"/>
  <c r="I196" i="2"/>
  <c r="H196" i="2"/>
  <c r="H195" i="2"/>
  <c r="I195" i="2" s="1"/>
  <c r="I194" i="2"/>
  <c r="H194" i="2"/>
  <c r="I191" i="2"/>
  <c r="H191" i="2"/>
  <c r="H190" i="2"/>
  <c r="G190" i="2"/>
  <c r="I190" i="2" s="1"/>
  <c r="I189" i="2"/>
  <c r="H189" i="2"/>
  <c r="H188" i="2"/>
  <c r="I188" i="2" s="1"/>
  <c r="I187" i="2"/>
  <c r="H187" i="2"/>
  <c r="H186" i="2"/>
  <c r="I186" i="2" s="1"/>
  <c r="I192" i="2" s="1"/>
  <c r="H183" i="2"/>
  <c r="I183" i="2" s="1"/>
  <c r="I182" i="2"/>
  <c r="H182" i="2"/>
  <c r="H181" i="2"/>
  <c r="I181" i="2" s="1"/>
  <c r="I180" i="2"/>
  <c r="H180" i="2"/>
  <c r="H179" i="2"/>
  <c r="I179" i="2" s="1"/>
  <c r="I178" i="2"/>
  <c r="H178" i="2"/>
  <c r="H177" i="2"/>
  <c r="I177" i="2" s="1"/>
  <c r="I176" i="2"/>
  <c r="H176" i="2"/>
  <c r="H175" i="2"/>
  <c r="I175" i="2" s="1"/>
  <c r="I174" i="2"/>
  <c r="H174" i="2"/>
  <c r="H173" i="2"/>
  <c r="I173" i="2" s="1"/>
  <c r="I172" i="2"/>
  <c r="H172" i="2"/>
  <c r="H171" i="2"/>
  <c r="I171" i="2" s="1"/>
  <c r="I170" i="2"/>
  <c r="H170" i="2"/>
  <c r="H169" i="2"/>
  <c r="I169" i="2" s="1"/>
  <c r="I168" i="2"/>
  <c r="H168" i="2"/>
  <c r="H167" i="2"/>
  <c r="I167" i="2" s="1"/>
  <c r="I166" i="2"/>
  <c r="H166" i="2"/>
  <c r="H165" i="2"/>
  <c r="I165" i="2" s="1"/>
  <c r="I164" i="2"/>
  <c r="H164" i="2"/>
  <c r="H163" i="2"/>
  <c r="I163" i="2" s="1"/>
  <c r="I162" i="2"/>
  <c r="H162" i="2"/>
  <c r="H161" i="2"/>
  <c r="I161" i="2" s="1"/>
  <c r="I160" i="2"/>
  <c r="H160" i="2"/>
  <c r="H159" i="2"/>
  <c r="I159" i="2" s="1"/>
  <c r="I158" i="2"/>
  <c r="H158" i="2"/>
  <c r="H157" i="2"/>
  <c r="I157" i="2" s="1"/>
  <c r="I156" i="2"/>
  <c r="H156" i="2"/>
  <c r="H155" i="2"/>
  <c r="I155" i="2" s="1"/>
  <c r="I154" i="2"/>
  <c r="H154" i="2"/>
  <c r="H153" i="2"/>
  <c r="I153" i="2" s="1"/>
  <c r="I152" i="2"/>
  <c r="H152" i="2"/>
  <c r="H151" i="2"/>
  <c r="I151" i="2" s="1"/>
  <c r="I150" i="2"/>
  <c r="H150" i="2"/>
  <c r="H149" i="2"/>
  <c r="I149" i="2" s="1"/>
  <c r="I148" i="2"/>
  <c r="H148" i="2"/>
  <c r="H147" i="2"/>
  <c r="I147" i="2" s="1"/>
  <c r="I146" i="2"/>
  <c r="H146" i="2"/>
  <c r="H145" i="2"/>
  <c r="I145" i="2" s="1"/>
  <c r="I144" i="2"/>
  <c r="H144" i="2"/>
  <c r="H143" i="2"/>
  <c r="I143" i="2" s="1"/>
  <c r="I142" i="2"/>
  <c r="H142" i="2"/>
  <c r="H141" i="2"/>
  <c r="I141" i="2" s="1"/>
  <c r="I140" i="2"/>
  <c r="H140" i="2"/>
  <c r="G140" i="2"/>
  <c r="H139" i="2"/>
  <c r="I139" i="2" s="1"/>
  <c r="G139" i="2"/>
  <c r="H138" i="2"/>
  <c r="G138" i="2"/>
  <c r="I138" i="2" s="1"/>
  <c r="H137" i="2"/>
  <c r="G137" i="2"/>
  <c r="I137" i="2" s="1"/>
  <c r="I136" i="2"/>
  <c r="H136" i="2"/>
  <c r="H135" i="2"/>
  <c r="G135" i="2"/>
  <c r="I135" i="2" s="1"/>
  <c r="H134" i="2"/>
  <c r="G134" i="2"/>
  <c r="I134" i="2" s="1"/>
  <c r="I133" i="2"/>
  <c r="H133" i="2"/>
  <c r="H132" i="2"/>
  <c r="G132" i="2"/>
  <c r="I132" i="2" s="1"/>
  <c r="I131" i="2"/>
  <c r="H131" i="2"/>
  <c r="H130" i="2"/>
  <c r="I130" i="2" s="1"/>
  <c r="I129" i="2"/>
  <c r="H129" i="2"/>
  <c r="I126" i="2"/>
  <c r="H126" i="2"/>
  <c r="H125" i="2"/>
  <c r="I125" i="2" s="1"/>
  <c r="I124" i="2"/>
  <c r="H124" i="2"/>
  <c r="H123" i="2"/>
  <c r="I123" i="2" s="1"/>
  <c r="I122" i="2"/>
  <c r="H122" i="2"/>
  <c r="H121" i="2"/>
  <c r="I121" i="2" s="1"/>
  <c r="I120" i="2"/>
  <c r="H120" i="2"/>
  <c r="H119" i="2"/>
  <c r="I119" i="2" s="1"/>
  <c r="I118" i="2"/>
  <c r="H118" i="2"/>
  <c r="G118" i="2"/>
  <c r="H117" i="2"/>
  <c r="I117" i="2" s="1"/>
  <c r="I116" i="2"/>
  <c r="H116" i="2"/>
  <c r="H115" i="2"/>
  <c r="I115" i="2" s="1"/>
  <c r="I114" i="2"/>
  <c r="H114" i="2"/>
  <c r="H113" i="2"/>
  <c r="I113" i="2" s="1"/>
  <c r="I112" i="2"/>
  <c r="H112" i="2"/>
  <c r="H111" i="2"/>
  <c r="I111" i="2" s="1"/>
  <c r="I110" i="2"/>
  <c r="H110" i="2"/>
  <c r="H109" i="2"/>
  <c r="I109" i="2" s="1"/>
  <c r="I108" i="2"/>
  <c r="H108" i="2"/>
  <c r="H107" i="2"/>
  <c r="I107" i="2" s="1"/>
  <c r="H106" i="2"/>
  <c r="G106" i="2"/>
  <c r="I106" i="2" s="1"/>
  <c r="I105" i="2"/>
  <c r="H105" i="2"/>
  <c r="H104" i="2"/>
  <c r="I104" i="2" s="1"/>
  <c r="I103" i="2"/>
  <c r="H103" i="2"/>
  <c r="H102" i="2"/>
  <c r="I102" i="2" s="1"/>
  <c r="I101" i="2"/>
  <c r="I127" i="2" s="1"/>
  <c r="H101" i="2"/>
  <c r="H98" i="2"/>
  <c r="I98" i="2" s="1"/>
  <c r="G98" i="2"/>
  <c r="H97" i="2"/>
  <c r="I97" i="2" s="1"/>
  <c r="I96" i="2"/>
  <c r="H96" i="2"/>
  <c r="H95" i="2"/>
  <c r="G95" i="2"/>
  <c r="I95" i="2" s="1"/>
  <c r="H94" i="2"/>
  <c r="G94" i="2"/>
  <c r="I94" i="2" s="1"/>
  <c r="I91" i="2"/>
  <c r="H91" i="2"/>
  <c r="H90" i="2"/>
  <c r="I90" i="2" s="1"/>
  <c r="I89" i="2"/>
  <c r="H89" i="2"/>
  <c r="H88" i="2"/>
  <c r="I88" i="2" s="1"/>
  <c r="H87" i="2"/>
  <c r="G87" i="2"/>
  <c r="I87" i="2" s="1"/>
  <c r="I86" i="2"/>
  <c r="H86" i="2"/>
  <c r="H85" i="2"/>
  <c r="I85" i="2" s="1"/>
  <c r="I84" i="2"/>
  <c r="H84" i="2"/>
  <c r="H81" i="2"/>
  <c r="I81" i="2" s="1"/>
  <c r="I80" i="2"/>
  <c r="H80" i="2"/>
  <c r="H79" i="2"/>
  <c r="I79" i="2" s="1"/>
  <c r="I78" i="2"/>
  <c r="H78" i="2"/>
  <c r="H77" i="2"/>
  <c r="I77" i="2" s="1"/>
  <c r="I76" i="2"/>
  <c r="H76" i="2"/>
  <c r="H75" i="2"/>
  <c r="I75" i="2" s="1"/>
  <c r="I74" i="2"/>
  <c r="H74" i="2"/>
  <c r="H73" i="2"/>
  <c r="I73" i="2" s="1"/>
  <c r="I82" i="2" s="1"/>
  <c r="G73" i="2"/>
  <c r="H70" i="2"/>
  <c r="I70" i="2" s="1"/>
  <c r="H69" i="2"/>
  <c r="G69" i="2"/>
  <c r="I69" i="2" s="1"/>
  <c r="I68" i="2"/>
  <c r="H68" i="2"/>
  <c r="G68" i="2"/>
  <c r="H67" i="2"/>
  <c r="I67" i="2" s="1"/>
  <c r="I71" i="2" s="1"/>
  <c r="G67" i="2"/>
  <c r="H64" i="2"/>
  <c r="I64" i="2" s="1"/>
  <c r="I63" i="2"/>
  <c r="H63" i="2"/>
  <c r="H62" i="2"/>
  <c r="I62" i="2" s="1"/>
  <c r="G62" i="2"/>
  <c r="H61" i="2"/>
  <c r="G61" i="2"/>
  <c r="I61" i="2" s="1"/>
  <c r="I65" i="2" s="1"/>
  <c r="H58" i="2"/>
  <c r="I58" i="2" s="1"/>
  <c r="I57" i="2"/>
  <c r="H57" i="2"/>
  <c r="G57" i="2"/>
  <c r="H56" i="2"/>
  <c r="I56" i="2" s="1"/>
  <c r="H55" i="2"/>
  <c r="G55" i="2"/>
  <c r="I55" i="2" s="1"/>
  <c r="I54" i="2"/>
  <c r="H54" i="2"/>
  <c r="G54" i="2"/>
  <c r="H53" i="2"/>
  <c r="I53" i="2" s="1"/>
  <c r="G53" i="2"/>
  <c r="H52" i="2"/>
  <c r="G52" i="2"/>
  <c r="I52" i="2" s="1"/>
  <c r="H51" i="2"/>
  <c r="I51" i="2" s="1"/>
  <c r="H50" i="2"/>
  <c r="I50" i="2" s="1"/>
  <c r="H49" i="2"/>
  <c r="I49" i="2" s="1"/>
  <c r="H48" i="2"/>
  <c r="I48" i="2" s="1"/>
  <c r="H47" i="2"/>
  <c r="G47" i="2"/>
  <c r="I47" i="2" s="1"/>
  <c r="I46" i="2"/>
  <c r="H46" i="2"/>
  <c r="G46" i="2"/>
  <c r="H45" i="2"/>
  <c r="I45" i="2" s="1"/>
  <c r="I59" i="2" s="1"/>
  <c r="G45" i="2"/>
  <c r="H42" i="2"/>
  <c r="I42" i="2" s="1"/>
  <c r="H41" i="2"/>
  <c r="I41" i="2" s="1"/>
  <c r="H40" i="2"/>
  <c r="I40" i="2" s="1"/>
  <c r="H39" i="2"/>
  <c r="I39" i="2" s="1"/>
  <c r="H38" i="2"/>
  <c r="I38" i="2" s="1"/>
  <c r="H35" i="2"/>
  <c r="G35" i="2"/>
  <c r="I35" i="2" s="1"/>
  <c r="H34" i="2"/>
  <c r="G34" i="2"/>
  <c r="I34" i="2" s="1"/>
  <c r="H31" i="2"/>
  <c r="I31" i="2" s="1"/>
  <c r="G31" i="2"/>
  <c r="I30" i="2"/>
  <c r="H30" i="2"/>
  <c r="H29" i="2"/>
  <c r="I29" i="2" s="1"/>
  <c r="G29" i="2"/>
  <c r="H28" i="2"/>
  <c r="I28" i="2" s="1"/>
  <c r="G28" i="2"/>
  <c r="I27" i="2"/>
  <c r="H27" i="2"/>
  <c r="G27" i="2"/>
  <c r="H26" i="2"/>
  <c r="I26" i="2" s="1"/>
  <c r="H23" i="2"/>
  <c r="I23" i="2" s="1"/>
  <c r="I22" i="2"/>
  <c r="H22" i="2"/>
  <c r="H21" i="2"/>
  <c r="I21" i="2" s="1"/>
  <c r="I20" i="2"/>
  <c r="I24" i="2" s="1"/>
  <c r="H20" i="2"/>
  <c r="H17" i="2"/>
  <c r="I17" i="2" s="1"/>
  <c r="H16" i="2"/>
  <c r="I16" i="2" s="1"/>
  <c r="H15" i="2"/>
  <c r="I15" i="2" s="1"/>
  <c r="H14" i="2"/>
  <c r="I14" i="2" s="1"/>
  <c r="H13" i="2"/>
  <c r="I13" i="2" s="1"/>
  <c r="H12" i="2"/>
  <c r="I12" i="2" s="1"/>
  <c r="H11" i="2"/>
  <c r="I11" i="2" s="1"/>
  <c r="I184" i="2" l="1"/>
  <c r="I32" i="2"/>
  <c r="I36" i="2"/>
  <c r="I43" i="2"/>
  <c r="I92" i="2"/>
  <c r="I99" i="2"/>
  <c r="I18" i="2"/>
  <c r="I223" i="2" s="1"/>
  <c r="I218" i="2"/>
</calcChain>
</file>

<file path=xl/sharedStrings.xml><?xml version="1.0" encoding="utf-8"?>
<sst xmlns="http://schemas.openxmlformats.org/spreadsheetml/2006/main" count="1129" uniqueCount="643">
  <si>
    <t>BDI</t>
  </si>
  <si>
    <t>ANEXO 01</t>
  </si>
  <si>
    <t>PLANILHA ORÇAMENTÁRIA DE CUSTOS</t>
  </si>
  <si>
    <t>SETOP 2023/01 com desoneração - SINAPI 2023/02 com desoneração</t>
  </si>
  <si>
    <t>CÂMARA MUNICIPAL DE SÃO JOÃO DA PONTE - MG</t>
  </si>
  <si>
    <t>OBRA: Construção da Nova Sede da Câmara Municipal de São João da Ponte - MG</t>
  </si>
  <si>
    <t>TIPO DA OBRA:  Construção</t>
  </si>
  <si>
    <t>LOCAL: São João da Ponte - MG</t>
  </si>
  <si>
    <t>(    )</t>
  </si>
  <si>
    <t>DIRETA</t>
  </si>
  <si>
    <t>( x )</t>
  </si>
  <si>
    <t>INDIRETA</t>
  </si>
  <si>
    <t>Item</t>
  </si>
  <si>
    <t>Fonte</t>
  </si>
  <si>
    <t>Código</t>
  </si>
  <si>
    <t>Descrição</t>
  </si>
  <si>
    <t>Und.</t>
  </si>
  <si>
    <t>Preço Unitário</t>
  </si>
  <si>
    <t>Quantidade</t>
  </si>
  <si>
    <t>Preço Unitário c/ BDI</t>
  </si>
  <si>
    <t>Preço Total</t>
  </si>
  <si>
    <t>Observações</t>
  </si>
  <si>
    <t>SERVIÇOS PRELIMINARES</t>
  </si>
  <si>
    <t>1.1</t>
  </si>
  <si>
    <t>SETOP</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</si>
  <si>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</si>
  <si>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</si>
  <si>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m2</t>
  </si>
  <si>
    <t>1.2</t>
  </si>
  <si>
    <t>ED-50135</t>
  </si>
  <si>
    <t>BARRACÃO DE OBRA, EM CHAPA DE COMPENSADO RESINADO, INCLUSIVE  INSTALAÇÕES SANITÁRIAS E MOBILIÁRIO - PADRÃO DER-MG</t>
  </si>
  <si>
    <t>1.3</t>
  </si>
  <si>
    <t>ED-50393</t>
  </si>
  <si>
    <t>MOBILIZAÇÃO E DESMOBILIZAÇÃO DE OBRA EM CENTRO URBANO OU REGIÃO LIMÍTROFE COM VALOR ENTRE 1.000.000,01 E 3.000.000,00</t>
  </si>
  <si>
    <t>%</t>
  </si>
  <si>
    <t>1.4</t>
  </si>
  <si>
    <t>ED-50703</t>
  </si>
  <si>
    <t>LIMPEZA DE TERRENO, INCLUSIVE CAPINA, RASTELAMENTO COM AFASTAMENTO ATÉ VINTE (20) METROS E QUEIMA CONTROLADA</t>
  </si>
  <si>
    <t>M2</t>
  </si>
  <si>
    <t>área externa</t>
  </si>
  <si>
    <t>1.5</t>
  </si>
  <si>
    <t>ED-50159</t>
  </si>
  <si>
    <t>TAPUME FIXO DE PROTEÇÃO PARA FECHAMENTO DE OBRA EM CHAPA DE COMPENSADO, ESP. 12MM, COM MÓDULO NA DIMENSÃO DE (110X220)CM, INCLUSIVE PINTURA LÁTEX (PVA) COM DUAS (2) DEMÃOS, EXCLUSIVE ABERTURA PARA PORTÃO</t>
  </si>
  <si>
    <t>M</t>
  </si>
  <si>
    <t>Fechamento provisório da entrada e portão estacionamento</t>
  </si>
  <si>
    <t>1.6</t>
  </si>
  <si>
    <t>SINAPI</t>
  </si>
  <si>
    <t>104148</t>
  </si>
  <si>
    <t>(COMPOSIÇÃO REPRESENTATIVA) LIGAÇÃO PREDIAL DE ESGOTO, REDE DN 150 MM, COLETOR PREDIAL DN 100 MM, L = 4,0 M, LARGURA DA VALA = 0,65 M; COM SELIM E CURVA 90 GRAUS; ESCAVAÇÃO MANUAL, PREPARO DE FUNDO DE VALA E REATERRO COMPACTADO. AF_06/2022</t>
  </si>
  <si>
    <t>1.7</t>
  </si>
  <si>
    <t>ED-50151</t>
  </si>
  <si>
    <t>LIGAÇÃO PROVISÓRIA COM ENTRADA DE ENERGIA AÉREA, PADRÃO CEMIG, CARGA INSTALADA DE 15,1KVA ATÉ 30KVA, TRIFÁSICO, COM SAÍDA SUBTERRÂNEA, INCLUSIVE POSTE, CAIXA PARA MEDIDOR, DISJUNTOR, BARRAMENTO, ATERRAMENTO E ACESSÓRIOS</t>
  </si>
  <si>
    <t>SUBTOTAL</t>
  </si>
  <si>
    <t>PROJETOS COMPLEMENTARES</t>
  </si>
  <si>
    <t>2.1</t>
  </si>
  <si>
    <t>CO-27429</t>
  </si>
  <si>
    <t>PROJETO EXECUTIVO DE AR CONDICIONADO/VENTILAÇÃO/CLIMATIZAÇÃO</t>
  </si>
  <si>
    <t>PR A1</t>
  </si>
  <si>
    <t>Projeto previsto e não executado</t>
  </si>
  <si>
    <t>2.2</t>
  </si>
  <si>
    <t>CO-27431</t>
  </si>
  <si>
    <t>PROJETO EXECUTIVO DE INSTALAÇÕES ELÉTRICAS (READEQUAÇÃO)</t>
  </si>
  <si>
    <t>Projeto Necessário</t>
  </si>
  <si>
    <t>2.3</t>
  </si>
  <si>
    <t>CO-27426</t>
  </si>
  <si>
    <t>PROJETO EXECUTIVO DE DRENAGEM PLUVIAL</t>
  </si>
  <si>
    <t>2.4</t>
  </si>
  <si>
    <t>CO-27475</t>
  </si>
  <si>
    <t>PROJETO EXECUTIVO DE IMPERMEABILIZAÇÃO</t>
  </si>
  <si>
    <t>DEMOLIÇÕES</t>
  </si>
  <si>
    <t>3.1</t>
  </si>
  <si>
    <t>ED-48463</t>
  </si>
  <si>
    <t>DEMOLIÇÃO MANUAL DE FORRO DE CHAPA OU PLACA DE GESSO, INCLUSIVE DEMOLIÇÃO DA ESTRUTURA DE SUSTENTAÇÃO, AFASTAMENTO E EMPILHAMENTO, EXCLUSIVE TRANSPORTE E RETIRADA DO MATERIAL DEMOLIDO</t>
  </si>
  <si>
    <t>Forro da recepção danificado devido a falta de condutores de agua pluvial</t>
  </si>
  <si>
    <t>3.2</t>
  </si>
  <si>
    <t>ED-48440</t>
  </si>
  <si>
    <t>DEMOLIÇÃO MANUAL DE CONCRETO, SEM ARMAÇÃO, INCLUSIVE AFASTAMENTO E EMPILHAMENTO, EXCLUSIVE TRANSPORTE E RETIRADA DO MATERIAL DEMOLIDO</t>
  </si>
  <si>
    <t>m3</t>
  </si>
  <si>
    <t>piso da recepção danificado devido a recalque (108,00 M2 x 0,10m) e piso da copa parcial para passagem de tubulação de esgoto (4,00m x 0,80m x 0,10)</t>
  </si>
  <si>
    <t>3.3</t>
  </si>
  <si>
    <t>ED-50707</t>
  </si>
  <si>
    <t>RASGO EM ALVENARIA PARA PASSAGEM DE ELETRODUTO/TUBULAÇÃO, DIÂMETROS DE 15MM A 25MM (1/2" A 1"), EXCLUSIVE ENCHIMENTO</t>
  </si>
  <si>
    <t xml:space="preserve"> (22 pontos de cab/seg 7 pontos som + 8 pontos hidráulicos ) x 3 mts</t>
  </si>
  <si>
    <t>3.4</t>
  </si>
  <si>
    <t>ED-50708</t>
  </si>
  <si>
    <t>RASGO EM ALVENARIA PARA PASSAGEM DE ELETRODUTO/TUBULAÇÃO, DIÂMETROS DE 32MM A 50MM (1.1/4" A 2"), EXCLUSIVE ENCHIMENTO</t>
  </si>
  <si>
    <t>5 pts hidráulicos x 3 mts</t>
  </si>
  <si>
    <t>3.5</t>
  </si>
  <si>
    <t>ED-8003</t>
  </si>
  <si>
    <t>COSTURA DE TRINCA COM GRAMPO, BARRA DE AÇO CA-60 Ø4,2MM, COMPRIMENTO TOTAL 40CM, ESPAÇAMENTO DE 20CM, INCLUSIVE CORTE, DOBRA E ARGAMASSA, TRAÇO 1:4 (CIMENTO E AREIA), PREPARO MECÂNICO</t>
  </si>
  <si>
    <t>trincas em muro externo</t>
  </si>
  <si>
    <t>3.6</t>
  </si>
  <si>
    <t>ED-51125</t>
  </si>
  <si>
    <t>TRANSPORTE DE MATERIAL DEMOLIDO EM CAÇAMBA, EXCLUSIVE CARGA MANUAL OU MECÂNICA</t>
  </si>
  <si>
    <t>Forro 108x 0,03=3,24m3 + concreto 11,12</t>
  </si>
  <si>
    <t>ESTRUTURA Reforço estrutural</t>
  </si>
  <si>
    <t>4.1</t>
  </si>
  <si>
    <t>ED-49619</t>
  </si>
  <si>
    <t>FORNECIMENTO DE CONCRETO ESTRUTURAL, PREPARADO EM OBRA, COM FCK 25MPA, INCLUSIVE LANÇAMENTO, ADENSAMENTO E ACABAMENTO</t>
  </si>
  <si>
    <t>piso da recepção danificado devido a recalque (108,00 x 0,10) e piso da copa parcial para passagem de tubulação de esgoto (4,00 x 0,80x0,08) piso dos wc 1 piso 8,80 x 2x0,08</t>
  </si>
  <si>
    <t>4.2</t>
  </si>
  <si>
    <t>ED-29551</t>
  </si>
  <si>
    <t>CORTE, DOBRA E MONTAGEM DE AÇO CA-50, DIÂMETRO 10MM, INCLUSIVE ESPAÇADOR</t>
  </si>
  <si>
    <t>Kg</t>
  </si>
  <si>
    <t>Aço= piso recepção 108 x 0,10 x 100</t>
  </si>
  <si>
    <t>ALVENARIA E REVESTIMENTOS</t>
  </si>
  <si>
    <t>5.1</t>
  </si>
  <si>
    <t>ED-50407</t>
  </si>
  <si>
    <t>MURO DIVISÓRIO TIJOLO FURADO E = 10 CM, REBOCADO E PINTADO A LATEX H = 2,20 M, INCLUSIVE SAPATA DE CONCRETO ARMADO FCK = 15 MPA, 50 x 55 CM</t>
  </si>
  <si>
    <t>Muro a ser refeito entrada e lateral</t>
  </si>
  <si>
    <t>5.2</t>
  </si>
  <si>
    <t>ED-50729</t>
  </si>
  <si>
    <t>CHAPISCO COM ARGAMASSA, TRAÇO 1:3 (CIMENTO E AREIA), ESP. 5MM, APLICADO EM ALVENARIA COM PENEIRA, PREPARO MECÂNICO</t>
  </si>
  <si>
    <t>vide calculo de áreas</t>
  </si>
  <si>
    <t>5.3</t>
  </si>
  <si>
    <t>ED-50761</t>
  </si>
  <si>
    <t>REBOCO COM ARGAMASSA, TRAÇO 1:2:8 (CIMENTO, CAL E AREIA), ESP. 20MM, APLICAÇÃO MANUAL, PREPARO MECÂNICO</t>
  </si>
  <si>
    <t>5.4</t>
  </si>
  <si>
    <t>ED-50717</t>
  </si>
  <si>
    <t>REVESTIMENTO COM AZULEJO BRANCO (20X20CM), JUNTA A PRUMO, ASSENTAMENTO COM ARGAMASSA INDUSTRIALIZADA, INCLUSIVE REJUNTAMENTO</t>
  </si>
  <si>
    <t>5.5</t>
  </si>
  <si>
    <t>ED-49686</t>
  </si>
  <si>
    <t>FORRO EM CHAPA DE GESSO ACARTONADA, ESP. 12,5MM, COM FIXAÇÃO DO TIPO ESTRUTURADA EM PERFIL METÁLICO, EXCLUSIVE PERFIL TABICA, SANCA E MOLDURA, INCLUSIVE ACESSÓRIOS E FIXAÇÃO</t>
  </si>
  <si>
    <t>PAVIMENTAÇÃO</t>
  </si>
  <si>
    <t>6.1</t>
  </si>
  <si>
    <t>ED-50568</t>
  </si>
  <si>
    <t>CONTRAPISO DESEMPENADO COM ARGAMASSA, TRAÇO 1:3 (CIMENTO E AREIA), ESP. 30MM</t>
  </si>
  <si>
    <t>wc inferiores e copa</t>
  </si>
  <si>
    <t>6.2</t>
  </si>
  <si>
    <t>ED-50753</t>
  </si>
  <si>
    <t>REVESTIMENTO COM PORCELANATO APLICADO EM PISO, ACABAMENTO ESMALTADO ACETINADO, AMBIENTE INTERNO/EXTERNO, PADRÃO EXTRA, BORDA RETIFICADA, DIMENSÃO DA PEÇA (45X45CM), ASSENTAMENTO COM ARGAMASSA INDUSTRIALIZADA, INCLUSIVE REJUNTAMENTO</t>
  </si>
  <si>
    <t>6.3</t>
  </si>
  <si>
    <t>ED-50771</t>
  </si>
  <si>
    <t>RODAPÉ COM REVESTIMENTO EM CERÂMICA ESMALTADA COMERCIAL, ALTURA 10CM, PEI IV, ASSENTAMENTO COM ARGAMASSA INDUSTRIALIZADA, INCLUSIVE REJUNTAMENTO</t>
  </si>
  <si>
    <t>6.4</t>
  </si>
  <si>
    <t>ED-50604</t>
  </si>
  <si>
    <t>TACÃO DE MADEIRA IPÊ EXTRA 10 X 40 CM ASSENTADO COM COLA ESPECIAL A BASE DE PVA</t>
  </si>
  <si>
    <t>Área do palco</t>
  </si>
  <si>
    <t>6.5</t>
  </si>
  <si>
    <t>ED-17869</t>
  </si>
  <si>
    <t>APLICAÇÃO DE VERNIZ, COM ACABAMENTO BRILHANTE, EM PISO DE MADEIRA TIPO TÁBUA CORRIDA, DUAS (2) DEMÃOS, INCLUSIVE RASPAGEM E CALAFETAÇÃO</t>
  </si>
  <si>
    <t>6.6</t>
  </si>
  <si>
    <t>ED-50777</t>
  </si>
  <si>
    <t>RODAPÉ EM MADEIRA SUCUPIRA/IPÊ/CUMARÚ OU EQUIVALENTE DA REGIÃO, ESP. 2CM, ALTURA 7CM</t>
  </si>
  <si>
    <t>6.7</t>
  </si>
  <si>
    <t>ORSE</t>
  </si>
  <si>
    <t>10710/SINAPI</t>
  </si>
  <si>
    <t>Carpete de nylon em manta para trafego comercial pesado, e = 6 a 7 mm (instalado)</t>
  </si>
  <si>
    <t>Área do auditório + desnível</t>
  </si>
  <si>
    <t>6.8</t>
  </si>
  <si>
    <t>ED-50583</t>
  </si>
  <si>
    <t>REVESTIMENTO COM LADRILHO HIDRÁULICO APLICADO EM PISO (25X25CM) COM JUNTA SECA, NA COR NATURAL, ASSENTAMENTO COM ARGAMASSA INDUSTRIALIZADA</t>
  </si>
  <si>
    <t>Área do passeio- área piso tátil</t>
  </si>
  <si>
    <t>6.9</t>
  </si>
  <si>
    <t>ED-50586</t>
  </si>
  <si>
    <t>PISO PODOTÁTIL DE CONCRETO, ALERTA, APLICADO EM PISO (40X40CM) COM JUNTA SECA, COR VERMELHO/AMARELO, ASSENTAMENTO COM ARGAMASSA INDUSTRIALIZADA, INCLUSIVE FORNECIMENTO E INSTALAÇÃO</t>
  </si>
  <si>
    <t>frente da obra =98,32 x 0,40 =39,32 +entrada de garagem e obra(4,0 +9,30) x 0,40= 5,32</t>
  </si>
  <si>
    <t>6.10</t>
  </si>
  <si>
    <t>ED-50997</t>
  </si>
  <si>
    <t>PEITORIL DE GRANITO CINZA ANDORINHA E = 2 CM</t>
  </si>
  <si>
    <t xml:space="preserve"> 5 janelas (5,10 x 0,25)</t>
  </si>
  <si>
    <t>6.11</t>
  </si>
  <si>
    <t>ED-51002</t>
  </si>
  <si>
    <t>SOLEIRA DE GRANITO CINZA ANDORINHA E = 2 CM</t>
  </si>
  <si>
    <t>Portas externas térreo 5 mt x 0,25</t>
  </si>
  <si>
    <t>6.12</t>
  </si>
  <si>
    <t>ED-50418</t>
  </si>
  <si>
    <t>EXECUÇÃO DE PAVIMENTO INTERTRAVADO, ESPESSURA 8CM, FCK 35MPA, INCLUINDO FORNECIMENTO E TRANSPORTE DE TODOS OS MATERIAIS E COLCHÃO DE ASSENTAMENTO COM ESPESSURA 6CM</t>
  </si>
  <si>
    <t xml:space="preserve"> </t>
  </si>
  <si>
    <t>6.13</t>
  </si>
  <si>
    <t>ED-51144</t>
  </si>
  <si>
    <t>PASSEIOS DE CONCRETO E = 8 CM, FCK = 15 MPA PADRÃO PREFEITURA</t>
  </si>
  <si>
    <t>1,70 m x 98,32 m / Área interna  corredor lateral (43,12x2)</t>
  </si>
  <si>
    <t>6.14</t>
  </si>
  <si>
    <t>ED-14762</t>
  </si>
  <si>
    <t>SARJETA DE CONCRETO URBANO (SCU), TIPO 1, COM FCK 15 MPA, LARGURA DE 50CM COM INCLINAÇÃO DE 3%, ESP. 7CM, PADRÃO DER-MG, EXCLUSIVE MEIO-FIO, INCLUSIVE ESCAVAÇÃO, APILAOMENTO E TRANSPORTE COM RETIRADA DO MATERIAL ESCAVADO (EM CAÇAMBA)</t>
  </si>
  <si>
    <t>Lateral da obra para condução da agua pluvial</t>
  </si>
  <si>
    <t>IMPERMEABILIZAÇÃO</t>
  </si>
  <si>
    <t>7.1</t>
  </si>
  <si>
    <t>ED-51108</t>
  </si>
  <si>
    <t>ESCAVAÇÃO MANUAL DE VALA COM PROFUNDIDADE MAIOR QUE 1,5M E MENOR OU IGUAL 3,0M, INCLUSIVE DESCARGA LATERAL</t>
  </si>
  <si>
    <t>Parede do plenarinho a contra barranco com infiltração necessita impermeabilização área 4,70 x 3,20 = 15,04</t>
  </si>
  <si>
    <t>7.2</t>
  </si>
  <si>
    <t>ED-51097</t>
  </si>
  <si>
    <t>COMPACTAÇÃO MANUAL DE ATERRO COM SOQUETE, INCLUSIVE ESPALHAMENTO MANUAL</t>
  </si>
  <si>
    <t xml:space="preserve"> Reaterro área escavada 15,06 x 0,60 = 9,02 m3</t>
  </si>
  <si>
    <t>7.3</t>
  </si>
  <si>
    <t>ED-50168</t>
  </si>
  <si>
    <t>IMPERMEABILIZAÇÃO COM MANTA ASFÁLTICA PRÉ-FABRICADA, E = 4 MM</t>
  </si>
  <si>
    <t>laje da frente- Platibanda (10,50 x 5,50)+ (1x16,20)=73,95 +15,04 parede plenarinho</t>
  </si>
  <si>
    <t>7.4</t>
  </si>
  <si>
    <t>ED-13281</t>
  </si>
  <si>
    <t>PROTEÇÃO MECÂNICA COM ARGAMASSA, TRAÇO 1:3 (CIMENTO E AREIA), ESP. 30MM, APLICAÇÃO MANUAL, PREPARO MECÂNICO, EXCLUSIVE CAMADA DE REGULARIZAÇÃO</t>
  </si>
  <si>
    <t>laje da frente (10,50 x 5,50)+ (1x16,20)=73,95 +15,04 parede plenarinho</t>
  </si>
  <si>
    <t>COBERTURA E INSTALAÇÃO PLUVIAL</t>
  </si>
  <si>
    <t>8.1</t>
  </si>
  <si>
    <t>ED-50677</t>
  </si>
  <si>
    <t>RUFO E CONTRARRUFO EM CHAPA GALVANIZADA, ESP. 0,65MM (GSG-24), COM DESENVOLVIMENTO DE 25CM, INCLUSIVE IÇAMENTO MANUAL VERTICAL</t>
  </si>
  <si>
    <t xml:space="preserve">Perímetro do prédio </t>
  </si>
  <si>
    <t>8.2</t>
  </si>
  <si>
    <t>ED-50667</t>
  </si>
  <si>
    <t>CHAPIM EM CHAPA GALVANIZADA, COM PINGADEIRA, ESP. 0,65MM (GSG-24), COM DESENVOLVIMENTO DE 35CM, INCLUSIVE IÇAMENTO MANUAL VERTICAL</t>
  </si>
  <si>
    <t>8.3</t>
  </si>
  <si>
    <t>ED-50668</t>
  </si>
  <si>
    <t>CONDUTOR DE AP DO TELHADO EM TUBO PVC ESGOTO, INCLUSIVE CONEXÕES E SUPORTES, 100 MM</t>
  </si>
  <si>
    <t>Previsão de 4 descidas com 18+10=28mt e 4 descidas com 12 ml e 54 ml piso</t>
  </si>
  <si>
    <t>8.4</t>
  </si>
  <si>
    <t>ED-49874</t>
  </si>
  <si>
    <t>CAIXA DE ESGOTO DE INSPEÇÃO/PASSAGEM EM ALVENARIA (40X40X60CM), REVESTIMENTO EM ARGAMASSA COM ADITIVO IMPERMEABILIZANTE, COM TAMPA DE CONCRETO, INCLUSIVE ESCAVAÇÃO, REATERRO E TRANSPORTE E RETIRADA DO MATERIAL ESCAVADO (EM CAÇAMBA)</t>
  </si>
  <si>
    <t>Caixas de passagem pluvial</t>
  </si>
  <si>
    <t>PINTURA</t>
  </si>
  <si>
    <t>9.1</t>
  </si>
  <si>
    <t>ED-50514</t>
  </si>
  <si>
    <t>PREPARAÇÃO PARA EMASSAMENTO OU PINTURA (LÁTEX/ACRÍLICA) EM PAREDE, INCLUSIVE UMA (1) DEMÃO DE SELADOR ACRÍLICO</t>
  </si>
  <si>
    <t>vide calculo de áreas área interna + externa</t>
  </si>
  <si>
    <t>9.2</t>
  </si>
  <si>
    <t>ED-50515</t>
  </si>
  <si>
    <t>PREPARAÇÃO PARA EMASSAMENTO OU PINTURA (LÁTEX/ACRÍLICA) EM TETO, INCLUSIVE UMA (1) DEMÃO DE SELADOR ACRÍLICO</t>
  </si>
  <si>
    <t>9.3</t>
  </si>
  <si>
    <t>ED-50478</t>
  </si>
  <si>
    <t>EMASSAMENTO EM PAREDE COM MASSA CORRIDA (PVA), DUAS (2) DEMÃOS, INCLUSIVE LIXAMENTO PARA PINTURA</t>
  </si>
  <si>
    <t>9.4</t>
  </si>
  <si>
    <t>ED-50486</t>
  </si>
  <si>
    <t>EMASSAMENTO EM FORRO DE GESSO COM MASSA CORRIDA (PVA), UMA (1) DEMÃO, INCLUSIVE LIXAMENTO PARA PINTURA</t>
  </si>
  <si>
    <t>9.5</t>
  </si>
  <si>
    <t>ED-50500</t>
  </si>
  <si>
    <t>PINTURA LÁTEX (PVA) EM PAREDE, TRÊS (3) DEMÃOS, EXCLUSIVE SELADOR ACRÍLICO E MASSA ACRÍLICA/CORRIDA (PVA)</t>
  </si>
  <si>
    <t>9.6</t>
  </si>
  <si>
    <t>ED-50501</t>
  </si>
  <si>
    <t>PINTURA LÁTEX (PVA) EM TETO, TRÊS (3) DEMÃOS, EXCLUSIVE SELADOR ACRÍLICO E MASSA ACRÍLICA/CORRIDA (PVA)</t>
  </si>
  <si>
    <t>9.7</t>
  </si>
  <si>
    <t>ED-50451</t>
  </si>
  <si>
    <t>PINTURA ACRÍLICA EM PAREDE, DUAS (2) DEMÃOS, EXCLUSIVE SELADOR ACRÍLICO E MASSA ACRÍLICA/CORRIDA (PVA)</t>
  </si>
  <si>
    <t>Área externa</t>
  </si>
  <si>
    <t>9.8</t>
  </si>
  <si>
    <t>ED-50530</t>
  </si>
  <si>
    <t>PINTURA COM VERNIZ POLIURETANO COM FILTRO SOLAR EM MADEIRA, DUAS (2) DEMÃOS, ACABAMENTO TIPO FOSCO</t>
  </si>
  <si>
    <t>9.9</t>
  </si>
  <si>
    <t>ED-50491</t>
  </si>
  <si>
    <t>PINTURA ESMALTE EM ESQUADRIAS DE FERRO, DUAS (2) DEMÃOS, INCLUSIVE UMA (1) DEMÃO DE FUNDO ANTICORROSIVO</t>
  </si>
  <si>
    <t>ESQUADRIAS</t>
  </si>
  <si>
    <t>10.1</t>
  </si>
  <si>
    <t>ED-49601</t>
  </si>
  <si>
    <t>PORTA DE ABRIR, MADEIRA DE LEI PRANCHETA PARA PINTURA COMPLETA 70 X 210 CM,COM FERRAGENS EM FERRO LATONADO</t>
  </si>
  <si>
    <t>10.2</t>
  </si>
  <si>
    <t>ED-49603</t>
  </si>
  <si>
    <t>PORTA DE ABRIR, MADEIRA DE LEI PRANCHETA PARA PINTURA COMPLETA 90 X 210 CM,COM FERRAGENS EM FERRO LATONADO</t>
  </si>
  <si>
    <t>10.3</t>
  </si>
  <si>
    <t>ED-49600</t>
  </si>
  <si>
    <t>PORTA DE ABRIR, MADEIRA DE LEI PRANCHETA PARA PINTURA COMPLETA 60 X 210 CM,COM FERRAGENS EM FERRO LATONADO</t>
  </si>
  <si>
    <t>Portas 1,20 x 2,10 = 2 folhas de 60</t>
  </si>
  <si>
    <t>10.4</t>
  </si>
  <si>
    <t>ED-23034</t>
  </si>
  <si>
    <t>PORTA METÁLICA, TIPO DE ABRIR, COM UMA (1) FOLHA, EM CHAPA GALVANIZADA LAMBRIL, MODELO QUADRADO, INCLUSIVE PINTURA ANTICORROSIVA A BASE DE ÓXIDO DE FERRO (ZARCÃO), UMA (1) DEMÃO, FORNECIMENTO E ASSENTAMENTO, EXCLUSIVE FECHADURA E DOBRADIÇA</t>
  </si>
  <si>
    <t>Portas externas térreo  1 und 1,80 x 2,10 e 1 und 2,00 x 2,10</t>
  </si>
  <si>
    <t>10.5</t>
  </si>
  <si>
    <t>ED-13888</t>
  </si>
  <si>
    <t>PORTA METÁLICA, TIPO DE CORRER, COM UMA (1) FOLHA, EM CHAPA GALVANIZADA LAMBRIL, MODELO ONDULADA, INCLUSIVE FORNECIMENTO, ASSENTAMENTO, PERFIS PARA MARCO E PINTURA ANTICORROSIVA COM UMA (1) DEMÃO, EXCLUSIVE FECHADURA E ROLDANAS</t>
  </si>
  <si>
    <t>Portão da garagem 4,00 x 3,00</t>
  </si>
  <si>
    <t>10.6</t>
  </si>
  <si>
    <t>ED-50978</t>
  </si>
  <si>
    <t>PORTA DE SANITÁRIO COMPLETA, COM BATENTES DE FERRO, ESTRUTURA EM METALON 20 X 30, FOLHA EM CHAPA GALVANIZADA Nº. 18, TRANQUETA E DOBRADIÇAS - 60 X 180 CM</t>
  </si>
  <si>
    <t>WC</t>
  </si>
  <si>
    <t>10.7</t>
  </si>
  <si>
    <t>ED-50977</t>
  </si>
  <si>
    <t>PORTA DE SANITÁRIO COMPLETA, COM BATENTES DE FERRO, ESTRUTURA EM METALON 20 X 30 MM, FOLHA EM CHAPA GALVANIZADA Nº. 18, TRANQUETA E DOBRADIÇAS - 80 X 150 CM</t>
  </si>
  <si>
    <t>Wc PCD</t>
  </si>
  <si>
    <t>10.8</t>
  </si>
  <si>
    <t>ED-51158</t>
  </si>
  <si>
    <t>VIDRO TEMPERADO TRANSPARENTE INCOLOR, ESP. 6MM, INCLUSIVE FIXAÇÃO E VEDAÇÃO COM GUARNIÇÃO/GAXETA DE BORRACHA NEOPRENE, FORNECIMENTO E INSTALAÇÃO, EXCLUSIVE CAIXILHO/PERFIL</t>
  </si>
  <si>
    <t>DIVISÓRIAS E BANCADAS e ACESSÓRIOS</t>
  </si>
  <si>
    <t>11.1</t>
  </si>
  <si>
    <t>ED-48533</t>
  </si>
  <si>
    <t>DIVISÓRIA EM GRANITO CINZA ANDORINHA E = 3 CM, INCLUSIVE FERRAGENS EM LATÃO CROMADO</t>
  </si>
  <si>
    <t>12 und 1,20 x 1,80</t>
  </si>
  <si>
    <t>11.2</t>
  </si>
  <si>
    <t>ED-48343</t>
  </si>
  <si>
    <t>BANCADA EM GRANITO CINZA ANDORINHA E = 3 CM, APOIADA EM CONSOLE DE METALON 20 X 30 MM</t>
  </si>
  <si>
    <t>2 lav 1,60 x 0,60  - 1 lav 1,50 x 0,60 m - 2 lav 1,00 x 0,60 m - 1 pia 1,20 x 0,60m</t>
  </si>
  <si>
    <t>11.3</t>
  </si>
  <si>
    <t>ED-48167</t>
  </si>
  <si>
    <t>BARRA DE APOIO EM AÇO INOX POLIDO PARA LAVATÓRIO DE CANTO, DN 1.1/4" (31,75MM), PARA ACESSIBILIDADE (PMR/PCR), INSTALADO EM PAREDE, INCLUSIVE FORNECIMENTO, INSTALAÇÃO E ACESSÓRIOS PARA FIXAÇÃO</t>
  </si>
  <si>
    <t>WC PCD</t>
  </si>
  <si>
    <t>11.4</t>
  </si>
  <si>
    <t>ED-48160</t>
  </si>
  <si>
    <t>BARRA DE APOIO EM AÇO INOX POLIDO RETA, DN 1.1/4" (31,75MM), PARA ACESSIBILIDADE (PMR/PCR), COMPRIMENTO 80CM, INSTALADO EM PAREDE, INCLUSIVE FORNECIMENTO, INSTALAÇÃO E ACESSÓRIOS PARA FIXAÇÃO</t>
  </si>
  <si>
    <t>11.6</t>
  </si>
  <si>
    <t>ED-50939</t>
  </si>
  <si>
    <t>GUARDA-CORPO EM AÇO GALVANIZADO DIN 2440, D = 2", COM SUBDIVISÕES EM TUBO DE AÇO D = 1/2", H = 1,05 M - COM CORRIMÃO DUPLO DE TUBO DE AÇO GALVANIZADO DE D = 1 1/2"</t>
  </si>
  <si>
    <t>Escada</t>
  </si>
  <si>
    <t>INSTALAÇÕES HIDROSANITÁRIAS</t>
  </si>
  <si>
    <t>12.1</t>
  </si>
  <si>
    <t>ED-50223</t>
  </si>
  <si>
    <t>PONTO DE EMBUTIR PARA ESGOTO EM TUBO PVC RÍGIDO, PB - SÉRIE NORMAL, DN 40MM (1.1/2"), EMBUTIDO NA ALVENARIA/PISO, COM ALTURA (SAÍDA) DE 50CM DO PISO, COM DISTÂNCIA DE ATÉ CINCO (5) METROS DA RAMAL DE ESGOTO, EXCLUSIVE ESCAVAÇÃO, INCLUSIVE CONEXÕES E FIXAÇÃO DO TUBO COM ENCHIMENTO DO RASGO NA ALVENARIA/CONCRETO COM ARGAMASSA</t>
  </si>
  <si>
    <t>I.S. 2 ptos x 2 und / copa 2 pts x 1 und /dml 1 pt / presd 1 pt</t>
  </si>
  <si>
    <t>12.2</t>
  </si>
  <si>
    <t>ED-50224</t>
  </si>
  <si>
    <t>PONTO DE EMBUTIR PARA ESGOTO EM TUBO PVC RÍGIDO, PBV - SÉRIE NORMAL, DN 50MM (2"), EMBUTIDO EM PISO COM DISTÂNCIA DE ATÉ CINCO (5) METROS DA RAMAL DE ESGOTO, EXCLUSIVE ESCAVAÇÃO, INCLUSIVE CONEXÕES E FIXAÇÃO DO TUBO COM ENCHIMENTO DO RASGO NO CONCRETO COM ARGAMASSA</t>
  </si>
  <si>
    <t>copa 2 pts x 1 und / dml</t>
  </si>
  <si>
    <t>12.3</t>
  </si>
  <si>
    <t>ED-50225</t>
  </si>
  <si>
    <t>PONTO DE EMBUTIR PARA ESGOTO EM TUBO PVC RÍGIDO, PBV - SÉRIE NORMAL, DN 100MM (4"), EMBUTIDO EM PISO COM DISTÂNCIA DE ATÉ CINCO (5) METROS DA RAMAL DE ESGOTO, INCLUSIVE CONEXÕES E FIXAÇÃO DO TUBO COM ENCHIMENTO DO RASGO NO CONCRETO COM ARGAMASSA</t>
  </si>
  <si>
    <t>I.S. 2 ptos x 2 und  +1 Presid.</t>
  </si>
  <si>
    <t>12.4</t>
  </si>
  <si>
    <t>ED-49939</t>
  </si>
  <si>
    <t>CAIXA DE GORDURA SIMPLES (CGS), CIRCULAR, EM CONCRETO PRÉ-MOLDADO, CAPACIDADE DE 31L, INCLUSIVE ESCAVAÇÃO, REATERRO, TRANSPORTE E RETIRADA DO MATERIAL ESCAVADO (EM CAÇAMBA)</t>
  </si>
  <si>
    <t>Conforme Projeto</t>
  </si>
  <si>
    <t>12.5</t>
  </si>
  <si>
    <t>ED-49903</t>
  </si>
  <si>
    <t>CAIXA DE ESGOTO DE INSPEÇÃO/PASSAGEM EM ALVENARIA (100X100X50CM), REVESTIMENTO EM ARGAMASSA COM ADITIVO IMPERMEABILIZANTE, COM TAMPA DE CONCRETO, INCLUSIVE ESCAVAÇÃO, REATERRO E TRANSPORTE E RETIRADA DO MATERIAL ESCAVADO (EM CAÇAMBA)</t>
  </si>
  <si>
    <t>12.6</t>
  </si>
  <si>
    <t>ED-50105</t>
  </si>
  <si>
    <t>FORNECIMENTO E ASSENTAMENTO DE TUBO PVC RÍGIDO, COLETOR DE ESGOTO LISO (JEI), DN 100 MM (4"), INCLUSIVE CONEXÕES</t>
  </si>
  <si>
    <t>12.7</t>
  </si>
  <si>
    <t>ED-50007</t>
  </si>
  <si>
    <t>CAIXA SIFONADA EM PVC COM GRELHA QUADRADA150 X 150 X 50 MM</t>
  </si>
  <si>
    <t>12.8</t>
  </si>
  <si>
    <t>ED-50010</t>
  </si>
  <si>
    <t>CAIXA SIFONADA EM PVC COM GRELHA REDONDA 100 X 100 X 40 MM</t>
  </si>
  <si>
    <t>12.9</t>
  </si>
  <si>
    <t>ED-50301</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</si>
  <si>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</si>
  <si>
    <t>12.10</t>
  </si>
  <si>
    <t>ED-50298</t>
  </si>
  <si>
    <t>BACIA SANITÁRIA (VASO) DE LOUÇA CONVENCIONAL, COR BRANCA, INCLUSIVE ACESSÓRIOS DE FIXAÇÃO/VEDAÇÃO, VÁLVULA DE DESCARGA METÁLICA COM ACIONAMENTO DUPLO, TUBO DE LIGAÇÃO DE LATÃO COM CANOPLA, FORNECIMENTO, INSTALAÇÃO E REJUNTAMENTO</t>
  </si>
  <si>
    <t>12.11</t>
  </si>
  <si>
    <t>ED-50282</t>
  </si>
  <si>
    <t>LAVATÓRIO DE LOUÇA BRANCA COM COLUNA, TAMANHO MÉDIO, INCLUSIVE ACESSÓRIOS DE FIXAÇÃO, VÁLVULA DE ESCOAMENTO DE METAL COM ACABAMENTO CROMADO, SIFÃO DE METAL TIPO COPO COM ACABAMENTO CROMADO, FORNECIMENTO, INSTALAÇÃO E REJUNTAMENTO, EXCLUSIVE TORNEIRA E ENGATE FLEXÍVEL</t>
  </si>
  <si>
    <t>12.12</t>
  </si>
  <si>
    <t>ED-50279</t>
  </si>
  <si>
    <t>CUBA DE LOUÇA BRANCA DE EMBUTIR, FORMATO OVAL, INCLUSIVE VÁLVULA DE ESCOAMENTO DE METAL COM ACABAMENTO CROMADO, SIFÃO DE METAL TIPO COPO COM ACABAMENTO CROMADO, FORNECIMENTO E INSTALAÇÃO</t>
  </si>
  <si>
    <t>12.13</t>
  </si>
  <si>
    <t>ED-50278</t>
  </si>
  <si>
    <t>CUBA EM AÇO INOXIDÁVEL DE EMBUTIR, AISI 304, APLICAÇÃO PARA PIA (560X330X115MM), NÚMERO 2, ASSENTAMENTO EM BANCADA, INCLUSIVE VÁLVULA DE ESCOAMENTO DE METAL COM ACABAMENTO CROMADO, SIFÃO DE METAL TIPO COPO COM ACABAMENTO CROMADO, FORNECIMENTO E INSTALAÇÃO</t>
  </si>
  <si>
    <t>12.14</t>
  </si>
  <si>
    <t>ED-50289</t>
  </si>
  <si>
    <t>TANQUE DE LOUÇA BRANCA COM COLUNA, CAPACIDADE 22 LITROS, INCLUSIVE ACESSÓRIOS DE FIXAÇÃO, FORNECIMENTO, INSTALAÇÃO E REJUNTAMENTO, EXCLUSIVE TORNEIRA, VÁLVULA DE ESCOAMENTO E SIFÃO</t>
  </si>
  <si>
    <t>12.15</t>
  </si>
  <si>
    <t>ED-50330</t>
  </si>
  <si>
    <t>TORNEIRA METÁLICA PARA LAVATÓRIO, ABERTURA 1/4 DE VOLTA, ACABAMENTO CROMADO, COM AREJADOR, APLICAÇÃO DE MESA, INCLUSIVE ENGATE FLEXÍVEL METÁLICO, FORNECIMENTO E INSTALAÇÃO</t>
  </si>
  <si>
    <t>12.16</t>
  </si>
  <si>
    <t>ED-50324</t>
  </si>
  <si>
    <t>TORNEIRA METÁLICA PARA PIA, BICA MÓVEL, ABERTURA 1/4 DE VOLTA, ACABAMENTO CROMADO, COM AREJADOR, APLICAÇÃO DE MESA, INCLUSIVE ENGATE FLEXÍVEL METÁLICO, FORNECIMENTO E INSTALAÇÃO</t>
  </si>
  <si>
    <t>12.17</t>
  </si>
  <si>
    <t>ED-50331</t>
  </si>
  <si>
    <t>TORNEIRA METÁLICA PARA TANQUE, ACABAMENTO CROMADO, BICO COM ROSCA, INCLUSIVE FORNECIMENTO E INSTALAÇÃO</t>
  </si>
  <si>
    <t>12.18</t>
  </si>
  <si>
    <t>ED-50222</t>
  </si>
  <si>
    <t>PONTO DE EMBUTIR PARA ÁGUA FRIA EM TUBO PVC RÍGIDO ROSCÁVEL, DN 1/2" (20MM), EMBUTIDO NA ALVENARIA COM DISTÂNCIA DE ATÉ CINCO (5) METROS DA TOMADA DE ÁGUA, INCLUSIVE CONEXÕES E FIXAÇÃO DO TUBO COM ENCHIMENTO DO RASGO NA ALVENARIA/CONCRETO COM ARGAMASSA</t>
  </si>
  <si>
    <t>Conforme Projeto 1º e 2º Piso</t>
  </si>
  <si>
    <t>12.19</t>
  </si>
  <si>
    <t>ED-50019</t>
  </si>
  <si>
    <t>FORNECIMENTO E ASSENTAMENTO DE TUBO PVC RÍGIDO SOLDÁVEL, ÁGUA FRIA, DN 25 MM (3/4") , INCLUSIVE CONEXÕES</t>
  </si>
  <si>
    <t>12.20</t>
  </si>
  <si>
    <t>ED-50022</t>
  </si>
  <si>
    <t>FORNECIMENTO E ASSENTAMENTO DE TUBO PVC RÍGIDO SOLDÁVEL, ÁGUA FRIA, DN 50 MM (1.1/2"), INCLUSIVE CONEXÕES</t>
  </si>
  <si>
    <t>12.21</t>
  </si>
  <si>
    <t>ED-49978</t>
  </si>
  <si>
    <t>REGISTRO DE GAVETA, TIPO BRUTO, ROSCÁVEL 1.1/2" (PARA TUBO SOLDÁVEL OU PPR DN 50MM/CPVC DN 42MM), INCLUSIVE VOLANTE PARA ACIONAMENTO</t>
  </si>
  <si>
    <t>12.22</t>
  </si>
  <si>
    <t>ED-49996</t>
  </si>
  <si>
    <t>REGISTRO DE GAVETA, TIPO BASE, ROSCÁVEL 1.1/2" (PARA TUBO SOLDÁVEL OU PPR DN 50MM/CPVC DN 42MM), INCLUSIVE ACABAMENTO (PADRÃO POPULAR) E CANOPLA CROMADOS</t>
  </si>
  <si>
    <t>12.23</t>
  </si>
  <si>
    <t>ED-49989</t>
  </si>
  <si>
    <t>REGISTRO DE GAVETA, TIPO BASE, ROSCÁVEL 3/4" (PARA TUBO SOLDÁVEL OU PPR DN 25MM/CPVC DN 22MM), INCLUSIVE ACABAMENTO (PADRÃO MÉDIO) E CANOPLA CROMADO</t>
  </si>
  <si>
    <t>12.24</t>
  </si>
  <si>
    <t>ED-48181</t>
  </si>
  <si>
    <t>PAPELEIRA METÁLICA CROMADA, INCLUSIVE FIXAÇÃO</t>
  </si>
  <si>
    <t>12.25</t>
  </si>
  <si>
    <t>ED-48184</t>
  </si>
  <si>
    <t>SABONETEIRA EM AÇO INOX TIPO DISPENSER PARA SABONETE LIQUIDO COM RESERVATORIO 800 ML</t>
  </si>
  <si>
    <t>12.26</t>
  </si>
  <si>
    <t>ED-49937</t>
  </si>
  <si>
    <t>CAIXA D´ÁGUA DE POLIETILENO, CAPACIDADE DE 1.500L, INCLUSIVE TAMPA, TORNEIRA DE BOIA, EXTRAVASOR, TUBO DE LIMPEZA E ACESSÓRIOS, EXCLUSIVE TUBULAÇÃO DE ENTRADA/SAÍDA DE ÁGUA</t>
  </si>
  <si>
    <t>previsão, Não detalhado em projeto</t>
  </si>
  <si>
    <t>INSTALAÇÕES ELÉTRICAS</t>
  </si>
  <si>
    <t>13.1</t>
  </si>
  <si>
    <t>ED-49187</t>
  </si>
  <si>
    <t>CAIXA DE LIGAÇÃO/PASSAGEM EM PVC RÍGIDO PARA ELETRODUTO, DIMENSÕES 4"X2", EMBUTIDA EM ALVENARIA - FORNECIMENTO E INSTALAÇÃO</t>
  </si>
  <si>
    <t>Executado</t>
  </si>
  <si>
    <t>13.2</t>
  </si>
  <si>
    <t>ED-49188</t>
  </si>
  <si>
    <t>CAIXA DE LIGAÇÃO/PASSAGEM EM PVC RÍGIDO PARA ELETRODUTO, DIMENSÕES 4"X4", EMBUTIDA EM ALVENARIA - FORNECIMENTO E INSTALAÇÃO</t>
  </si>
  <si>
    <t>13.3</t>
  </si>
  <si>
    <t>ED-16634</t>
  </si>
  <si>
    <t>CAIXA DE LIGAÇÃO/PASSAGEM EM PVC RÍGIDO PARA ELETRODUTO COM SUPORTE PARA LAJOTA, OCTOGONAL COM FUNDO MÓVEL, DIMENSÕES 4"X4", EMBUTIDA EM LAJE PRÉ-MOLDADA - FORNECIMENTO E INSTALAÇÃO</t>
  </si>
  <si>
    <t>13.4</t>
  </si>
  <si>
    <t>ED-49016</t>
  </si>
  <si>
    <t>CABO DE COBRE FLEXÍVEL, CLASSE 5, ISOLAMENTO TIPO EPR/HEPR, NÃO HALOGENADO, ANTICHAMA, TERMOFIXO, UNIPOLAR, SEÇÃO 95 MM2, 90°C, 0,6/1KV</t>
  </si>
  <si>
    <t>13.5</t>
  </si>
  <si>
    <t>ED-49010</t>
  </si>
  <si>
    <t>CABO DE COBRE FLEXÍVEL, CLASSE 5, ISOLAMENTO TIPO EPR/HEPR, NÃO HALOGENADO, ANTICHAMA, TERMOFIXO, UNIPOLAR, SEÇÃO 50 MM2, 90°C, 0,6/1KV</t>
  </si>
  <si>
    <t>13.6</t>
  </si>
  <si>
    <t>ED-49007</t>
  </si>
  <si>
    <t>CABO DE COBRE FLEXÍVEL, CLASSE 5, ISOLAMENTO TIPO EPR/HEPR, NÃO HALOGENADO, ANTICHAMA, TERMOFIXO, UNIPOLAR, SEÇÃO 35 MM2, 90°C, 0,6/1KV</t>
  </si>
  <si>
    <t>13.7</t>
  </si>
  <si>
    <t>ED-49004</t>
  </si>
  <si>
    <t>CABO DE COBRE FLEXÍVEL, CLASSE 5, ISOLAMENTO TIPO EPR/HEPR, NÃO HALOGENADO, ANTICHAMA, TERMOFIXO, UNIPOLAR, SEÇÃO 25 MM2, 90°C, 0,6/1KV</t>
  </si>
  <si>
    <t>13.8</t>
  </si>
  <si>
    <t>ED-49001</t>
  </si>
  <si>
    <t>CABO DE COBRE FLEXÍVEL, CLASSE 5, ISOLAMENTO TIPO EPR/HEPR, NÃO HALOGENADO, ANTICHAMA, TERMOFIXO, UNIPOLAR, SEÇÃO 16 MM2, 90°C, 0,6/1KV</t>
  </si>
  <si>
    <t>13.9</t>
  </si>
  <si>
    <t>ED-48998</t>
  </si>
  <si>
    <t>CABO DE COBRE FLEXÍVEL, CLASSE 5, ISOLAMENTO TIPO EPR/HEPR, NÃO HALOGENADO, ANTICHAMA, TERMOFIXO, UNIPOLAR, SEÇÃO 10 MM2, 90°C, 0,6/1KV</t>
  </si>
  <si>
    <t>13.10</t>
  </si>
  <si>
    <t>ED-48992</t>
  </si>
  <si>
    <t>CABO DE COBRE FLEXÍVEL, CLASSE 5, ISOLAMENTO TIPO EPR/HEPR, NÃO HALOGENADO, ANTICHAMA, TERMOFIXO, UNIPOLAR, SEÇÃO 4 MM2, 90°C, 0,6/1KV</t>
  </si>
  <si>
    <t>13.11</t>
  </si>
  <si>
    <t>ED-48956</t>
  </si>
  <si>
    <t>CABO DE COBRE FLEXÍVEL, CLASSE 5, ISOLAMENTO TIPO LSHF/ATOX, NÃO HALOGENADO, ANTICHAMA, TERMOPLÁSTICO, UNIPOLAR, SEÇÃO 4 MM2, 70°C, 450/750V</t>
  </si>
  <si>
    <t>13.12</t>
  </si>
  <si>
    <t>ED-48951</t>
  </si>
  <si>
    <t>CABO DE COBRE FLEXÍVEL, CLASSE 5, ISOLAMENTO TIPO LSHF/ATOX, NÃO HALOGENADO, ANTICHAMA, TERMOPLÁSTICO, UNIPOLAR, SEÇÃO 2,5 MM2, 70°C, 450/750V</t>
  </si>
  <si>
    <t>13.13</t>
  </si>
  <si>
    <t>ED-49148</t>
  </si>
  <si>
    <t>CAIXA DE PASSAGEM EM CHAPA DE AÇO, EMBUTIR 153 X 153 X 82 MM</t>
  </si>
  <si>
    <t>13.14</t>
  </si>
  <si>
    <t>ED-49149</t>
  </si>
  <si>
    <t>CAIXA DE PASSAGEM EM CHAPA DE AÇO, EMBUTIR 230 X 230 X 102 MM</t>
  </si>
  <si>
    <t>13.15</t>
  </si>
  <si>
    <t>ED-49150</t>
  </si>
  <si>
    <t>CAIXA DE PASSAGEM EM CHAPA DE AÇO, EMBUTIR 330 X 330 X 122 MM</t>
  </si>
  <si>
    <t>13.16</t>
  </si>
  <si>
    <t>ED-15733</t>
  </si>
  <si>
    <t>CONJUNTO DE UM (1) INTERRUPTOR SIMPLES, CORRENTE 10A, TENSÃO 250V, (10A-250V), COM PLACA 4"X2" DE UM (1) POSTO, INCLUSIVE FORNECIMENTO, INSTALAÇÃO, SUPORTE, MÓDULO E PLACA</t>
  </si>
  <si>
    <t>13.17</t>
  </si>
  <si>
    <t>ED-15739</t>
  </si>
  <si>
    <t>CONJUNTO DE DOIS (2) INTERRUPTORES SIMPLES, CORRENTE 10A, TENSÃO 250V, (10A-250V), COM PLACA 4"X2" DE DOIS (2) POSTOS, INCLUSIVE FORNECIMENTO, INSTALAÇÃO, SUPORTE, MÓDULO E PLACA</t>
  </si>
  <si>
    <t>13.18</t>
  </si>
  <si>
    <t>ED-15782</t>
  </si>
  <si>
    <t>CONJUNTO DE DOIS (2) INTERRUPTORES SIMPLES, CORRENTE 10A, TENSÃO 250V, (10A-250V), COM PLACA 4"X4" DE DOIS (2) POSTOS, INCLUSIVE FORNECIMENTO, INSTALAÇÃO, SUPORTE, MÓDULO E PLACA</t>
  </si>
  <si>
    <t>13.19</t>
  </si>
  <si>
    <t>ED-15748</t>
  </si>
  <si>
    <t>CONJUNTO DE UMA (1) TOMADA PADRÃO, TRÊS (3) POLOS, CORRENTE 10A, TENSÃO 250V, (2P+T/10A-250V), COM PLACA 4"X2" DE UM (1) POSTO, INCLUSIVE FORNECIMENTO, INSTALAÇÃO, SUPORTE, MÓDULO E PLACA</t>
  </si>
  <si>
    <t>13.20</t>
  </si>
  <si>
    <t>ED-15755</t>
  </si>
  <si>
    <t>CONJUNTO DE DUAS (2) TOMADAS PADRÃO, TRÊS (3) POLOS, CORRENTE 10A, TENSÃO 250V, (2P+T/10A-250V), COM PLACA 4"X2" DE DOIS (2) POSTOS, INCLUSIVE FORNECIMENTO, INSTALAÇÃO, SUPORTE, MÓDULO E PLACA</t>
  </si>
  <si>
    <t>13.21</t>
  </si>
  <si>
    <t>ED-49523</t>
  </si>
  <si>
    <t>RELÉ FOTOELÉTRICO, TENSÃO 120V COM CAPACIDADE DE CARGA 1200VA, INCLUSIVE BASE E INSTALAÇÃO</t>
  </si>
  <si>
    <t>13.22</t>
  </si>
  <si>
    <t>ED-49524</t>
  </si>
  <si>
    <t>RELÉ FOTOELÉTRICO, TENSÃO 220V COM CAPACIDADE DE CARGA 1800VA, INCLUSIVE BASE E INSTALAÇÃO</t>
  </si>
  <si>
    <t>13.23</t>
  </si>
  <si>
    <t>ED-49266</t>
  </si>
  <si>
    <t>DISJUNTOR TRIPOLAR TERMOMAGNÉTICO 10KA, DE 200A</t>
  </si>
  <si>
    <t>13.24</t>
  </si>
  <si>
    <t>ED-49259</t>
  </si>
  <si>
    <t>DISJUNTOR TRIPOLAR TERMOMAGNÉTICO 10KA, DE 50A</t>
  </si>
  <si>
    <t>13.25</t>
  </si>
  <si>
    <t>ED-49261</t>
  </si>
  <si>
    <t>DISJUNTOR TRIPOLAR TERMOMAGNÉTICO 10KA, DE 70A</t>
  </si>
  <si>
    <t>13.26</t>
  </si>
  <si>
    <t>ED-49230</t>
  </si>
  <si>
    <t>DISJUNTOR MONOPOLAR TERMOMAGNÉTICO 5KA, DE 16A</t>
  </si>
  <si>
    <t>13.27</t>
  </si>
  <si>
    <t>ED-49231</t>
  </si>
  <si>
    <t>DISJUNTOR MONOPOLAR TERMOMAGNÉTICO 5KA, DE 20A</t>
  </si>
  <si>
    <t>13.28</t>
  </si>
  <si>
    <t>ED-49232</t>
  </si>
  <si>
    <t>DISJUNTOR MONOPOLAR TERMOMAGNÉTICO 5KA, DE 25A</t>
  </si>
  <si>
    <t>13.29</t>
  </si>
  <si>
    <t>ED-49268</t>
  </si>
  <si>
    <t>DISJUNTOR BIPOLAR TERMOMAGNÉTICO 5KA, DE 10A</t>
  </si>
  <si>
    <t>13.30</t>
  </si>
  <si>
    <t>ED-49269</t>
  </si>
  <si>
    <t>DISJUNTOR BIPOLAR TERMOMAGNÉTICO 5KA, DE 15A</t>
  </si>
  <si>
    <t>13.31</t>
  </si>
  <si>
    <t>ED-49270</t>
  </si>
  <si>
    <t>DISJUNTOR BIPOLAR TERMOMAGNÉTICO 5KA, DE 16A</t>
  </si>
  <si>
    <t>13.32</t>
  </si>
  <si>
    <t>ED-49271</t>
  </si>
  <si>
    <t>DISJUNTOR BIPOLAR TERMOMAGNÉTICO 5KA, DE 20A</t>
  </si>
  <si>
    <t>13.33</t>
  </si>
  <si>
    <t>ED-49272</t>
  </si>
  <si>
    <t>DISJUNTOR BIPOLAR TERMOMAGNÉTICO 5KA, DE 25A</t>
  </si>
  <si>
    <t>13.34</t>
  </si>
  <si>
    <t>ED-49274</t>
  </si>
  <si>
    <t>DISJUNTOR BIPOLAR TERMOMAGNÉTICO 5KA, DE 32A</t>
  </si>
  <si>
    <t>13.35</t>
  </si>
  <si>
    <t>ED-49527</t>
  </si>
  <si>
    <t>SUPRESSOR DE SURTO PARA PROTEÇÃO PRIMÁRIA EM QGD, ATÉ 1,5 KV - 5 KA</t>
  </si>
  <si>
    <t>13.36</t>
  </si>
  <si>
    <t>ED-15117</t>
  </si>
  <si>
    <t>DISJUNTOR DE PROTEÇÃO DIFERENCIAL RESIDUAL (DR), TETRAPOLAR, TIPO DIN, CORRENTE NOMINAL DE 63A, ALTA SENSIBILIDADE, CORRENTE DIFERENCIAL RESIDUAL NOMINAL COM ATUAÇÃO DE 30MA</t>
  </si>
  <si>
    <t>13.37</t>
  </si>
  <si>
    <t>ED-17952</t>
  </si>
  <si>
    <t>ELETRODUTO FLEXÍVEL CORRUGADO, PVC, ANTI-CHAMA, DN 25MM (3/4"), APLICADO EM ALVENARIA, EXCLUSIVE RASGO</t>
  </si>
  <si>
    <t>13.38</t>
  </si>
  <si>
    <t>ED-17953</t>
  </si>
  <si>
    <t>ELETRODUTO FLEXÍVEL CORRUGADO, PVC, ANTI-CHAMA, DN 32MM (1"), APLICADO EM ALVENARIA, EXCLUSIVE RASGO</t>
  </si>
  <si>
    <t>13.39</t>
  </si>
  <si>
    <t>ED-49311</t>
  </si>
  <si>
    <t>ELETRODUTO DE PVC RÍGIDO ROSCÁVEL, DN 40 MM (1.1/2"), INCLUSIVE CONEXÕES, SUPORTES E FIXAÇÃO</t>
  </si>
  <si>
    <t>13.40</t>
  </si>
  <si>
    <t>ED-49310</t>
  </si>
  <si>
    <t>ELETRODUTO DE PVC RÍGIDO ROSCÁVEL, DN 32 MM (1.1/4"), INCLUSIVE CONEXÕES, SUPORTES E FIXAÇÃO</t>
  </si>
  <si>
    <t>13.41</t>
  </si>
  <si>
    <t>ED-49312</t>
  </si>
  <si>
    <t>ELETRODUTO DE PVC RÍGIDO ROSCÁVEL, DN 50 MM (2"), INCLUSIVE CONEXÕES, SUPORTES E FIXAÇÃO</t>
  </si>
  <si>
    <t>13.42</t>
  </si>
  <si>
    <t>ED-49313</t>
  </si>
  <si>
    <t>ELETRODUTO DE PVC RÍGIDO ROSCÁVEL, DN 60 MM (2.1/2"), INCLUSIVE CONEXÕES, SUPORTES E FIXAÇÃO</t>
  </si>
  <si>
    <t>13.43</t>
  </si>
  <si>
    <t>ED-49314</t>
  </si>
  <si>
    <t>ELETRODUTO DE PVC RÍGIDO ROSCÁVEL, DN 75 MM (3"), INCLUSIVE CONEXÕES, SUPORTES E FIXAÇÃO</t>
  </si>
  <si>
    <t>13.44</t>
  </si>
  <si>
    <t>ED-49308</t>
  </si>
  <si>
    <t>ELETRODUTO DE PVC RÍGIDO ROSCÁVEL, DN 20 MM (3/4"), INCLUSIVE CONEXÕES, SUPORTES E FIXAÇÃO</t>
  </si>
  <si>
    <t>13.45</t>
  </si>
  <si>
    <t>ED-49318</t>
  </si>
  <si>
    <t>ELETRODUTO DE AÇO GALVANIZADO LEVE, INCLUSIVE CONEXÕES, SUPORTES E FIXAÇÃO DN 25 (1")</t>
  </si>
  <si>
    <t>13.46</t>
  </si>
  <si>
    <t>ED-49319</t>
  </si>
  <si>
    <t>ELETRODUTO DE AÇO GALVANIZADO MÉDIO, INCLUSIVE CONEXÕES, SUPORTES E FIXAÇÃO DN 32 (1.1/4")</t>
  </si>
  <si>
    <t>13.47</t>
  </si>
  <si>
    <t>ED-49404</t>
  </si>
  <si>
    <t>LUMINÁRIA ARANDELA TIPO TARTARUGA BLINDADA, PARA UMA (1) LÂMPADA BASE E-27, POTÊNCIA MÁXIMA 60W, FORNECIMENTO E INSTALAÇÃO, EXCLUSIVE BASE E LÂMPADA</t>
  </si>
  <si>
    <t>13.48</t>
  </si>
  <si>
    <t>ED-27072</t>
  </si>
  <si>
    <t>LUMINÁRIA COMERCIAL COM DIFUSOR DE EMBUTIR COMPLETA, PARA DUAS (2) LÂMPADAS TUBULARES LED 2X9W-ØT8, TEMPERATURA DA COR 6500K, FORNECIMENTO E INSTALAÇÃO, INCLUSIVE BASE E LÂMPADA</t>
  </si>
  <si>
    <t>13.49</t>
  </si>
  <si>
    <t>ED-27074</t>
  </si>
  <si>
    <t>LUMINÁRIA COMERCIAL COM DIFUSOR DE EMBUTIR COMPLETA, PARA DUAS (2) LÂMPADAS TUBULARES LED 2X18W-ØT8, TEMPERATURA DA COR 6500K, FORNECIMENTO E INSTALAÇÃO, INCLUSIVE BASE E LÂMPADA</t>
  </si>
  <si>
    <t>13.50</t>
  </si>
  <si>
    <t>ED-27076</t>
  </si>
  <si>
    <t>LUMINÁRIA COMERCIAL COM DIFUSOR DE EMBUTIR COMPLETA, PARA QUATRO (4) LÂMPADAS TUBULARES LED 4X9W-ØT8, TEMPERATURA DA COR 6500K, FORNECIMENTO E INSTALAÇÃO, INCLUSIVE BASE E LÂMPADA</t>
  </si>
  <si>
    <t>13.51</t>
  </si>
  <si>
    <t>ED-13357</t>
  </si>
  <si>
    <t>LUMINÁRIA PLAFON REDONDO DE VIDRO JATEADO REDONDO COMPLETA, DIÂMETRO 25 CM, PARA UMA (1) LÂMPADA LED, POTÊNCIA 15W, BULBO A65, FORNECIMENTO E INSTALAÇÃO, INCLUSIVE BASE E LÂMPADA</t>
  </si>
  <si>
    <t>13.52</t>
  </si>
  <si>
    <t>ED-20650</t>
  </si>
  <si>
    <t>CAIXA PARA MEDIÇÃO, TIPO CM-19, DIMENSÕES CONFORME PADRÃO CEMIG, EXCLUSIVE BARRAMENTO E DISJUNTOR, INCLUSIVE INSTALAÇÃO</t>
  </si>
  <si>
    <t>13.53</t>
  </si>
  <si>
    <t>ED-49504</t>
  </si>
  <si>
    <t>QUADRO DE DISTRIBUIÇÃO PARA 50 MÓDULOS COM BARRAMENTO 100 A</t>
  </si>
  <si>
    <t>13.54</t>
  </si>
  <si>
    <t>ED-49499</t>
  </si>
  <si>
    <t>QUADRO DE DISTRIBUIÇÃO PARA 12 MÓDULOS COM BARRAMENTO E CHAVE</t>
  </si>
  <si>
    <t>13.55</t>
  </si>
  <si>
    <t>ED-49501</t>
  </si>
  <si>
    <t>QUADRO DE DISTRIBUIÇÃO PARA 24 MÓDULOS COM BARRAMENTO 100 A</t>
  </si>
  <si>
    <t>SPDA</t>
  </si>
  <si>
    <t>14.1</t>
  </si>
  <si>
    <t>ED-51055</t>
  </si>
  <si>
    <t>CAIXA DE INSPEÇÃO EM PVC, DIÂMETRO DE 30CM, ALTURA DE 30CM, COM TAMPA EM FERRO FUNDIDO, EXCLUSIVE HASTE DE ATERRAMENTO, INCLUSIVE INSTALAÇÃO</t>
  </si>
  <si>
    <t>14.2</t>
  </si>
  <si>
    <t>ED-49343</t>
  </si>
  <si>
    <t>HASTE DE AÇO COBREADA PARA ATERRAMENTO DIÂMETRO 3/4"X 2400 MM,CONFORME PADRÕES TELEBRÁS</t>
  </si>
  <si>
    <t>14.3</t>
  </si>
  <si>
    <t>ED-13941</t>
  </si>
  <si>
    <t>CABO DE COBRE NU #50MM2 - 7 FIOSX3,00MM, PARA ELEMENTOS  DE CAPTAÇÃO/ ANEL DE CINTAMENTO/ DESCIDA (SPDA), INCLUSIVE SUPORTE E ISOLADOR</t>
  </si>
  <si>
    <t>14.4</t>
  </si>
  <si>
    <t>ED-13940</t>
  </si>
  <si>
    <t>CABO DE COBRE NU #35MM2 - 7 FIOSX2,50MM, PARA ELEMENTOS  DE CAPTAÇÃO/ ANEL DE CINTAMENTO/ DESCIDA (SPDA), INCLUSIVE SUPORTE E ISOLADOR</t>
  </si>
  <si>
    <t>14.5</t>
  </si>
  <si>
    <t>ED-51019</t>
  </si>
  <si>
    <t>BARRA CHATA DE ALUMÍNIO 7/8" X 1/8" X 3M</t>
  </si>
  <si>
    <t>14.6</t>
  </si>
  <si>
    <t>96989</t>
  </si>
  <si>
    <t>CAPTOR TIPO FRANKLIN PARA SPDA - FORNECIMENTO E INSTALAÇÃO. AF_12/2017</t>
  </si>
  <si>
    <t>PREVENÇÃO A INCENDIO</t>
  </si>
  <si>
    <t>15.1</t>
  </si>
  <si>
    <t>ED-50228</t>
  </si>
  <si>
    <t>PONTO DE EMBUTIR PARA UMA (1) LUMINÁRIA,COM ELETRODUTO DE PVC RÍGIDO ROSCÁVEL, DN 20MM (3/4"), EMBUTIDO NA LAJE E CABO DE COBRE FLEXÍVEL, CLASSE 5, ISOLAMENTO TIPO LSHF/ATOX, NÃO HALOGENADO, SEÇÃO 1,5MM2 (70°C-450/750V), COM DISTÂNCIA DE ATÉ CINCO (5) METROS DO PONTO DE DERIVAÇÃO, EXCLUSIVE LUMINÁRIA, INCLUSIVE CAIXA DE LIGAÇÃO OCTOGONAL, SUPORTE E FIXAÇÃO DO ELETRODUTO</t>
  </si>
  <si>
    <t>Instalação das luminárias</t>
  </si>
  <si>
    <t>15.2</t>
  </si>
  <si>
    <t>ED-26993</t>
  </si>
  <si>
    <t>LUMINÁRIA DE EMERGÊNCIA AUTÔNOMA, TIPO LED COM DOIS FARÓIS, POTÊNCIA TOTAL DE 8W, FORNECIMENTO E INSTALAÇÃO</t>
  </si>
  <si>
    <t>15.3</t>
  </si>
  <si>
    <t>ED-26989</t>
  </si>
  <si>
    <t>LUMINÁRIA DE EMERGÊNCIA AUTÔNOMA, TIPO LED POTÊNCIA TOTAL DE 2W, FORNECIMENTO E INSTALAÇÃO</t>
  </si>
  <si>
    <t>15.4</t>
  </si>
  <si>
    <t>ED-50199</t>
  </si>
  <si>
    <t>PLACA FOTOLUMINESCENTE PARA SINALIZAÇÃO DE EMERGÊNCIA, TIPO "E5", DIMENSÃO (300X300)MM, INCLUSIVE FIXAÇÃO</t>
  </si>
  <si>
    <t>15.5</t>
  </si>
  <si>
    <t>ED-50200</t>
  </si>
  <si>
    <t>PLACA FOTOLUMINESCENTE PARA SINALIZAÇÃO DE EMERGÊNCIA, TIPO "E8", DIMENSÃO (300X300)MM, INCLUSIVE FIXAÇÃO</t>
  </si>
  <si>
    <t>15.6</t>
  </si>
  <si>
    <t>ED-50205</t>
  </si>
  <si>
    <t>PLACA FOTOLUMINESCENTE PARA SINALIZAÇÃO DE EMERGÊNCIA, TIPO "S12", DIMENSÃO (380X190)MM, INCLUSIVE FIXAÇÃO</t>
  </si>
  <si>
    <t>15.7</t>
  </si>
  <si>
    <t>ED-50201</t>
  </si>
  <si>
    <t>PLACA FOTOLUMINESCENTE PARA SINALIZAÇÃO DE EMERGÊNCIA, TIPO "S2", DIMENSÃO (380X190)MM, INCLUSIVE FIXAÇÃO</t>
  </si>
  <si>
    <t>15.8</t>
  </si>
  <si>
    <t>ED-50203</t>
  </si>
  <si>
    <t>PLACA FOTOLUMINESCENTE PARA SINALIZAÇÃO DE EMERGÊNCIA, TIPO "S9", DIMENSÃO (380X190)MM, INCLUSIVE FIXAÇÃO</t>
  </si>
  <si>
    <t>15.9</t>
  </si>
  <si>
    <t>ED-50192</t>
  </si>
  <si>
    <t>EXTINTOR DE INCÊNDIO TIPO PÓ QUÍMICO 20-B:C, CAPACIDADE 6 KG</t>
  </si>
  <si>
    <t>15.10</t>
  </si>
  <si>
    <t>ED-50195</t>
  </si>
  <si>
    <t>HIDRANTE DE RECALQUE COMPLETO EM CAIXA DE ALVENARIA</t>
  </si>
  <si>
    <t>15.11</t>
  </si>
  <si>
    <t>ED-50177</t>
  </si>
  <si>
    <t>ABRIGO EM CHAPA DE AÇO CARBONO DE SOBREPOR, PINTADO DE VERMELHO NAS DIMENSÕES (90X60X17)CM COM UMA PORTA COM VIDRO TRANSPARENTE COM A INSCRIÇÃO "INCÊNDIO", INCLUINDO SUPORTE BASCULANTE PARA MANGUEIRA - FORNECIMENTO E INSTALAÇÃO, EXCLUSIVE MANGUEIRA, REGISTRO GLOBO E ACESSÓRIOS</t>
  </si>
  <si>
    <t>15.12</t>
  </si>
  <si>
    <t>ED-50208</t>
  </si>
  <si>
    <t>REGISTRO TIPO GLOBO ANGULAR, COM 45 GRAUS, DN 2.1/2" (63 MM), PN16, EM LATÃO COM VOLANTE PARA HIDRANTE - FORNECIMENTO E INSTALAÇÃO</t>
  </si>
  <si>
    <t>15.13</t>
  </si>
  <si>
    <t>ED-50182</t>
  </si>
  <si>
    <t>ADAPTADOR EM LATÃO PARA INSTALAÇÃO PREDIAL DE COMBATE A INCÊNDIO ENGATE RÁPIDO 2.1/2" X ROSCA INTERNA 5 FIOS 2.1/2", FORNECIMENTO E INSTALAÇÃO</t>
  </si>
  <si>
    <t>15.14</t>
  </si>
  <si>
    <t>ED-22707</t>
  </si>
  <si>
    <t>MANGUEIRA DE FIBRA SINTÉTICA E BORRACHA PARA INCÊNDIO TIPO 2, DN 38MM, COMPRIMENTO 15M, FORNECIMENTO E INSTALAÇÃO</t>
  </si>
  <si>
    <t>15.15</t>
  </si>
  <si>
    <t>ED-50189</t>
  </si>
  <si>
    <t>ESGUICHO TIPO AGULHETA COM JUNTA DE UNIÃO ENGATE RÁPIDO DN 38MM, FORNECIMENTO E INSTALAÇÃO</t>
  </si>
  <si>
    <t>15.16</t>
  </si>
  <si>
    <t>ED-50188</t>
  </si>
  <si>
    <t>CHAVE PARA CONEXÕES DE ENGATE RÁPIDO TIPO STORZ, 63X38MM</t>
  </si>
  <si>
    <t>15.17</t>
  </si>
  <si>
    <t>ED-49865</t>
  </si>
  <si>
    <t>CONJUNTO ELEVATÓRIO MOTOR-BOMBA (CENTRÍFUGA) DE 2 HP</t>
  </si>
  <si>
    <t>15.18</t>
  </si>
  <si>
    <t>ED-49509</t>
  </si>
  <si>
    <t>QUADRO DE COMANDO PARA BOMBA P = 1,5 CV, RECALQUE</t>
  </si>
  <si>
    <t>15.19</t>
  </si>
  <si>
    <t>ED-50211</t>
  </si>
  <si>
    <t>REGISTRO TIPO GLOBO, DN 2.1/2" (63 MM), PN16, EM LATAO COM VOLANTE, EXTREMIDADES ROSCADAS  - FORNECIMENTO E INSTALAÇÃO</t>
  </si>
  <si>
    <t>15.20</t>
  </si>
  <si>
    <t>ED-49982</t>
  </si>
  <si>
    <t>REGISTRO DE GAVETA, TIPO BRUTO, ROSCÁVEL 2.1/2" (PARA TUBO SOLDÁVEL OU PPR DN 75MM/CPVC DN 73MM), INCLUSIVE VOLANTE PARA ACIONAMENTO</t>
  </si>
  <si>
    <t>15.21</t>
  </si>
  <si>
    <t>ED-50356</t>
  </si>
  <si>
    <t>VÁLVULA DE RETENÇÃO HORIZONTAL OU VERTICAL, Ø 65 MM (2 1/2")</t>
  </si>
  <si>
    <t>15.22</t>
  </si>
  <si>
    <t>ED-50046</t>
  </si>
  <si>
    <t>FORNECIMENTO E ASSENTAMENTO DE TUBO DE AÇO GALVANIZADO COM COSTURA , INCLUSIVE CONEXÕES E SUPORTES, D = 2 1/2"</t>
  </si>
  <si>
    <t>15.23</t>
  </si>
  <si>
    <t>102617</t>
  </si>
  <si>
    <t>CAIXA D´ÁGUA EM POLIÉSTER REFORÇADO COM FIBRA DE VIDRO, 5000 LITROS - FORNECIMENTO E INSTALAÇÃO. AF_06/2021</t>
  </si>
  <si>
    <t>3.269,22</t>
  </si>
  <si>
    <t>15.24</t>
  </si>
  <si>
    <t>102615</t>
  </si>
  <si>
    <t>CAIXA D´ÁGUA EM POLIÉSTER REFORÇADO COM FIBRA DE VIDRO, 2000 LITROS - FORNECIMENTO E INSTALAÇÃO. AF_06/2021</t>
  </si>
  <si>
    <t>1.252,32</t>
  </si>
  <si>
    <t>DIVERSOS</t>
  </si>
  <si>
    <t>16.1</t>
  </si>
  <si>
    <t>ED-50266</t>
  </si>
  <si>
    <t>LIMPEZA FINAL PARA ENTREGA DA OBRA</t>
  </si>
  <si>
    <t>TOTAL GERAL</t>
  </si>
  <si>
    <t>DATA: 30/10/2023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</si>
</sst>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 #,##0.00_);_(* \(#,##0.00\);_(* &quot;-&quot;??_);_(@_)"/>
  </numFmts>
  <fonts count="13" x14ac:knownFonts="1">
    <font>
      <sz val="11"/>
      <color theme="1"/>
      <name val="Calibri"/>
      <family val="2"/>
      <scheme val="minor"/>
    </font>
    <font>
      <sz val="11"/>
      <color theme="1"/>
      <name val="Calibri"/>
      <family val="2"/>
      <scheme val="minor"/>
    </font>
    <font>
      <sz val="10"/>
      <name val="Arial"/>
      <family val="2"/>
    </font>
    <font>
      <b/>
      <sz val="20"/>
      <name val="Arial"/>
      <family val="2"/>
    </font>
    <font>
      <b/>
      <sz val="15"/>
      <name val="Arial"/>
      <family val="2"/>
    </font>
    <font>
      <b/>
      <sz val="10"/>
      <name val="Arial"/>
      <family val="2"/>
    </font>
    <font>
      <b/>
      <sz val="9"/>
      <name val="Arial"/>
      <family val="2"/>
    </font>
    <font>
      <sz val="9"/>
      <name val="Arial"/>
      <family val="2"/>
    </font>
    <font>
      <sz val="9"/>
      <color rgb="FF010000"/>
      <name val="Arial"/>
      <family val="2"/>
    </font>
    <font>
      <sz val="10"/>
      <name val="Arial"/>
    </font>
    <font>
      <sz val="9"/>
      <color indexed="8"/>
      <name val="Arial"/>
      <family val="2"/>
    </font>
    <font>
      <b/>
      <sz val="9"/>
      <color indexed="8"/>
      <name val="Arial"/>
      <family val="2"/>
    </font>
    <font>
      <b/>
      <sz val="1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91">
    <xf numFmtId="0" fontId="0" fillId="0" borderId="0" xfId="0"/>
    <xf numFmtId="0" fontId="2" fillId="0" borderId="0" xfId="5"/>
    <xf numFmtId="0" fontId="4" fillId="2" borderId="4" xfId="5" applyFont="1" applyFill="1" applyBorder="1"/>
    <xf numFmtId="0" fontId="4" fillId="2" borderId="5" xfId="5" applyFont="1" applyFill="1" applyBorder="1"/>
    <xf numFmtId="0" fontId="4" fillId="2" borderId="5" xfId="5" applyFont="1" applyFill="1" applyBorder="1" applyAlignment="1">
      <alignment horizontal="left"/>
    </xf>
    <xf numFmtId="0" fontId="4" fillId="2" borderId="6" xfId="5" applyFont="1" applyFill="1" applyBorder="1"/>
    <xf numFmtId="0" fontId="2" fillId="3" borderId="0" xfId="5" applyFill="1"/>
    <xf numFmtId="0" fontId="2" fillId="4" borderId="0" xfId="5" applyFill="1"/>
    <xf numFmtId="0" fontId="2" fillId="4" borderId="7" xfId="5" applyFill="1" applyBorder="1"/>
    <xf numFmtId="0" fontId="5" fillId="4" borderId="0" xfId="5" applyFont="1" applyFill="1"/>
    <xf numFmtId="0" fontId="5" fillId="4" borderId="8" xfId="5" applyFont="1" applyFill="1" applyBorder="1"/>
    <xf numFmtId="0" fontId="5" fillId="0" borderId="7" xfId="5" applyFont="1" applyBorder="1"/>
    <xf numFmtId="0" fontId="5" fillId="0" borderId="0" xfId="5" applyFont="1"/>
    <xf numFmtId="164" fontId="5" fillId="0" borderId="0" xfId="6" applyFont="1" applyFill="1" applyBorder="1" applyAlignment="1">
      <alignment horizontal="left"/>
    </xf>
    <xf numFmtId="0" fontId="2" fillId="0" borderId="8" xfId="5" applyBorder="1" applyAlignment="1">
      <alignment wrapText="1"/>
    </xf>
    <xf numFmtId="164" fontId="5" fillId="0" borderId="0" xfId="6" applyFont="1" applyFill="1" applyBorder="1" applyAlignment="1"/>
    <xf numFmtId="0" fontId="5" fillId="3" borderId="7" xfId="5" applyFont="1" applyFill="1" applyBorder="1"/>
    <xf numFmtId="0" fontId="5" fillId="3" borderId="0" xfId="5" applyFont="1" applyFill="1"/>
    <xf numFmtId="0" fontId="5" fillId="3" borderId="0" xfId="5" applyFont="1" applyFill="1" applyAlignment="1">
      <alignment horizontal="left"/>
    </xf>
    <xf numFmtId="164" fontId="5" fillId="0" borderId="0" xfId="6" applyFont="1" applyFill="1" applyBorder="1" applyAlignment="1">
      <alignment horizontal="right"/>
    </xf>
    <xf numFmtId="0" fontId="5" fillId="3" borderId="9" xfId="5" applyFont="1" applyFill="1" applyBorder="1" applyAlignment="1">
      <alignment wrapText="1"/>
    </xf>
    <xf numFmtId="0" fontId="5" fillId="3" borderId="10" xfId="5" applyFont="1" applyFill="1" applyBorder="1" applyAlignment="1">
      <alignment wrapText="1"/>
    </xf>
    <xf numFmtId="164" fontId="5" fillId="0" borderId="10" xfId="6" applyFont="1" applyFill="1" applyBorder="1" applyAlignment="1">
      <alignment horizontal="right"/>
    </xf>
    <xf numFmtId="164" fontId="5" fillId="0" borderId="10" xfId="6" applyFont="1" applyFill="1" applyBorder="1" applyAlignment="1">
      <alignment horizontal="center"/>
    </xf>
    <xf numFmtId="10" fontId="5" fillId="0" borderId="10" xfId="4" applyNumberFormat="1" applyFont="1" applyFill="1" applyBorder="1" applyAlignment="1">
      <alignment horizontal="center"/>
    </xf>
    <xf numFmtId="164" fontId="0" fillId="0" borderId="10" xfId="6" applyFont="1" applyBorder="1" applyAlignment="1"/>
    <xf numFmtId="0" fontId="2" fillId="0" borderId="11" xfId="5" applyBorder="1" applyAlignment="1">
      <alignment wrapText="1"/>
    </xf>
    <xf numFmtId="0" fontId="6" fillId="0" borderId="12" xfId="5" applyFont="1" applyBorder="1" applyAlignment="1">
      <alignment horizontal="center" vertical="center"/>
    </xf>
    <xf numFmtId="164" fontId="6" fillId="0" borderId="12" xfId="6" applyFont="1" applyFill="1" applyBorder="1" applyAlignment="1">
      <alignment horizontal="center" vertical="center" wrapText="1"/>
    </xf>
    <xf numFmtId="164" fontId="6" fillId="0" borderId="12" xfId="6" applyFont="1" applyFill="1" applyBorder="1" applyAlignment="1">
      <alignment horizontal="center" vertical="center"/>
    </xf>
    <xf numFmtId="0" fontId="7" fillId="0" borderId="12" xfId="5" applyFont="1" applyBorder="1" applyAlignment="1">
      <alignment wrapText="1"/>
    </xf>
    <xf numFmtId="0" fontId="6" fillId="4" borderId="12" xfId="5" applyFont="1" applyFill="1" applyBorder="1" applyAlignment="1">
      <alignment horizontal="center" wrapText="1"/>
    </xf>
    <xf numFmtId="49" fontId="6" fillId="4" borderId="12" xfId="5" applyNumberFormat="1" applyFont="1" applyFill="1" applyBorder="1" applyAlignment="1">
      <alignment horizontal="center" wrapText="1"/>
    </xf>
    <xf numFmtId="0" fontId="6" fillId="4" borderId="12" xfId="5" applyFont="1" applyFill="1" applyBorder="1" applyAlignment="1">
      <alignment wrapText="1"/>
    </xf>
    <xf numFmtId="0" fontId="7" fillId="0" borderId="12" xfId="5"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wrapText="1"/>
    </xf>
    <xf numFmtId="43" fontId="8" fillId="0" borderId="12" xfId="1" applyFont="1" applyFill="1" applyBorder="1" applyAlignment="1" applyProtection="1">
      <alignment horizontal="right" wrapText="1"/>
    </xf>
    <xf numFmtId="164" fontId="7" fillId="0" borderId="12" xfId="6" applyFont="1" applyFill="1" applyBorder="1" applyAlignment="1">
      <alignment horizontal="center" wrapText="1"/>
    </xf>
    <xf numFmtId="164" fontId="7" fillId="3" borderId="12" xfId="6" applyFont="1" applyFill="1" applyBorder="1" applyAlignment="1">
      <alignment horizontal="center" wrapText="1"/>
    </xf>
    <xf numFmtId="2" fontId="7" fillId="0" borderId="12" xfId="6" applyNumberFormat="1" applyFont="1" applyFill="1" applyBorder="1" applyAlignment="1">
      <alignment horizontal="center" wrapText="1"/>
    </xf>
    <xf numFmtId="0" fontId="7" fillId="0" borderId="12" xfId="0" applyFont="1" applyBorder="1" applyAlignment="1">
      <alignment horizontal="center"/>
    </xf>
    <xf numFmtId="0" fontId="7" fillId="0" borderId="12" xfId="0" applyFont="1" applyBorder="1" applyAlignment="1">
      <alignment horizontal="left" wrapText="1"/>
    </xf>
    <xf numFmtId="0" fontId="6" fillId="0" borderId="12" xfId="5" applyFont="1" applyBorder="1" applyAlignment="1">
      <alignment horizontal="center" wrapText="1"/>
    </xf>
    <xf numFmtId="49" fontId="7" fillId="0" borderId="12" xfId="5" applyNumberFormat="1" applyFont="1" applyBorder="1" applyAlignment="1">
      <alignment horizontal="center" wrapText="1"/>
    </xf>
    <xf numFmtId="0" fontId="6" fillId="0" borderId="12" xfId="5" applyFont="1" applyBorder="1" applyAlignment="1">
      <alignment horizontal="left" wrapText="1"/>
    </xf>
    <xf numFmtId="164" fontId="6" fillId="0" borderId="12" xfId="6" applyFont="1" applyFill="1" applyBorder="1" applyAlignment="1">
      <alignment horizontal="center" wrapText="1"/>
    </xf>
    <xf numFmtId="49" fontId="7" fillId="4" borderId="12" xfId="5" applyNumberFormat="1" applyFont="1" applyFill="1" applyBorder="1" applyAlignment="1">
      <alignment horizontal="center" wrapText="1"/>
    </xf>
    <xf numFmtId="0" fontId="6" fillId="4" borderId="12" xfId="5" applyFont="1" applyFill="1" applyBorder="1" applyAlignment="1">
      <alignment horizontal="left" wrapText="1"/>
    </xf>
    <xf numFmtId="2" fontId="7" fillId="4" borderId="12" xfId="6" applyNumberFormat="1" applyFont="1" applyFill="1" applyBorder="1" applyAlignment="1">
      <alignment horizontal="center" wrapText="1"/>
    </xf>
    <xf numFmtId="164" fontId="7" fillId="4" borderId="12" xfId="6" applyFont="1" applyFill="1" applyBorder="1" applyAlignment="1">
      <alignment horizontal="center" wrapText="1"/>
    </xf>
    <xf numFmtId="0" fontId="7" fillId="3" borderId="12" xfId="5" applyFont="1" applyFill="1" applyBorder="1" applyAlignment="1">
      <alignment horizontal="center" wrapText="1"/>
    </xf>
    <xf numFmtId="2" fontId="7" fillId="3" borderId="12" xfId="6" applyNumberFormat="1" applyFont="1" applyFill="1" applyBorder="1" applyAlignment="1">
      <alignment horizontal="center" wrapText="1"/>
    </xf>
    <xf numFmtId="0" fontId="6" fillId="3" borderId="12" xfId="5" applyFont="1" applyFill="1" applyBorder="1" applyAlignment="1">
      <alignment horizontal="left" wrapText="1"/>
    </xf>
    <xf numFmtId="164" fontId="6" fillId="3" borderId="12" xfId="6" applyFont="1" applyFill="1" applyBorder="1" applyAlignment="1">
      <alignment horizontal="center" wrapText="1"/>
    </xf>
    <xf numFmtId="0" fontId="7" fillId="4" borderId="12" xfId="5" applyFont="1" applyFill="1" applyBorder="1" applyAlignment="1">
      <alignment horizontal="center" wrapText="1"/>
    </xf>
    <xf numFmtId="0" fontId="7" fillId="4" borderId="12" xfId="5" applyFont="1" applyFill="1" applyBorder="1" applyAlignment="1">
      <alignment horizontal="center"/>
    </xf>
    <xf numFmtId="0" fontId="6" fillId="4" borderId="12" xfId="5" applyFont="1" applyFill="1" applyBorder="1" applyAlignment="1">
      <alignment horizontal="left"/>
    </xf>
    <xf numFmtId="0" fontId="7" fillId="0" borderId="12" xfId="5" applyFont="1" applyBorder="1" applyAlignment="1">
      <alignment horizontal="center"/>
    </xf>
    <xf numFmtId="164" fontId="7" fillId="3" borderId="12" xfId="6" applyFont="1" applyFill="1" applyBorder="1" applyAlignment="1">
      <alignment horizontal="center"/>
    </xf>
    <xf numFmtId="164" fontId="7" fillId="0" borderId="12" xfId="6" applyFont="1" applyBorder="1" applyAlignment="1">
      <alignment horizontal="center" wrapText="1"/>
    </xf>
    <xf numFmtId="0" fontId="7" fillId="0" borderId="12" xfId="5" applyFont="1" applyBorder="1" applyAlignment="1">
      <alignment horizontal="left" wrapText="1"/>
    </xf>
    <xf numFmtId="0" fontId="8" fillId="3" borderId="12" xfId="0" applyFont="1" applyFill="1" applyBorder="1" applyAlignment="1">
      <alignment horizontal="center" wrapText="1"/>
    </xf>
    <xf numFmtId="0" fontId="8" fillId="3" borderId="12" xfId="0" applyFont="1" applyFill="1" applyBorder="1" applyAlignment="1">
      <alignment horizontal="left" wrapText="1"/>
    </xf>
    <xf numFmtId="43" fontId="8" fillId="3" borderId="12" xfId="1" applyFont="1" applyFill="1" applyBorder="1" applyAlignment="1" applyProtection="1">
      <alignment horizontal="right" wrapText="1"/>
    </xf>
    <xf numFmtId="0" fontId="7" fillId="0" borderId="12" xfId="5" applyFont="1" applyBorder="1" applyAlignment="1">
      <alignment vertical="center" wrapText="1"/>
    </xf>
    <xf numFmtId="43" fontId="7" fillId="0" borderId="12" xfId="1" applyFont="1" applyBorder="1" applyAlignment="1">
      <alignment horizontal="center"/>
    </xf>
    <xf numFmtId="43" fontId="7" fillId="0" borderId="12" xfId="1" applyFont="1" applyBorder="1" applyAlignment="1">
      <alignment horizontal="center" wrapText="1"/>
    </xf>
    <xf numFmtId="0" fontId="8" fillId="2" borderId="12" xfId="0" applyFont="1" applyFill="1" applyBorder="1" applyAlignment="1">
      <alignment horizontal="left" wrapText="1"/>
    </xf>
    <xf numFmtId="164" fontId="2" fillId="0" borderId="0" xfId="5" applyNumberFormat="1"/>
    <xf numFmtId="164" fontId="6" fillId="0" borderId="12" xfId="6" applyFont="1" applyBorder="1" applyAlignment="1">
      <alignment horizontal="center" wrapText="1"/>
    </xf>
    <xf numFmtId="2" fontId="6" fillId="4" borderId="12" xfId="6" applyNumberFormat="1" applyFont="1" applyFill="1" applyBorder="1" applyAlignment="1">
      <alignment horizontal="center" wrapText="1"/>
    </xf>
    <xf numFmtId="164" fontId="6" fillId="4" borderId="12" xfId="6" applyFont="1" applyFill="1" applyBorder="1" applyAlignment="1">
      <alignment horizontal="center" wrapText="1"/>
    </xf>
    <xf numFmtId="164" fontId="7" fillId="3" borderId="12" xfId="7" applyFont="1" applyFill="1" applyBorder="1" applyAlignment="1">
      <alignment horizontal="center" wrapText="1"/>
    </xf>
    <xf numFmtId="2" fontId="6" fillId="0" borderId="12" xfId="6" applyNumberFormat="1" applyFont="1" applyFill="1" applyBorder="1" applyAlignment="1">
      <alignment horizontal="center" wrapText="1"/>
    </xf>
    <xf numFmtId="0" fontId="7" fillId="0" borderId="12" xfId="0" applyFont="1" applyBorder="1" applyAlignment="1">
      <alignment horizontal="left"/>
    </xf>
    <xf numFmtId="49" fontId="10" fillId="0" borderId="12" xfId="5" applyNumberFormat="1" applyFont="1" applyBorder="1" applyAlignment="1">
      <alignment horizontal="center" wrapText="1"/>
    </xf>
    <xf numFmtId="44" fontId="12" fillId="2" borderId="12" xfId="2" applyFont="1" applyFill="1" applyBorder="1" applyAlignment="1">
      <alignment horizontal="center" wrapText="1"/>
    </xf>
    <xf numFmtId="0" fontId="6" fillId="0" borderId="0" xfId="5" applyFont="1" applyAlignment="1">
      <alignment horizontal="center" wrapText="1"/>
    </xf>
    <xf numFmtId="0" fontId="6" fillId="0" borderId="0" xfId="5" applyFont="1" applyAlignment="1">
      <alignment horizontal="left" wrapText="1"/>
    </xf>
    <xf numFmtId="164" fontId="6" fillId="0" borderId="0" xfId="6" applyFont="1" applyBorder="1" applyAlignment="1">
      <alignment horizontal="center" wrapText="1"/>
    </xf>
    <xf numFmtId="0" fontId="7" fillId="0" borderId="0" xfId="5" applyFont="1" applyAlignment="1">
      <alignment wrapText="1"/>
    </xf>
    <xf numFmtId="0" fontId="2" fillId="0" borderId="0" xfId="5" applyAlignment="1">
      <alignment horizontal="center"/>
    </xf>
    <xf numFmtId="0" fontId="2" fillId="0" borderId="0" xfId="5" applyAlignment="1">
      <alignment horizontal="left"/>
    </xf>
    <xf numFmtId="164" fontId="0" fillId="0" borderId="0" xfId="6" applyFont="1" applyAlignment="1"/>
    <xf numFmtId="0" fontId="2" fillId="0" borderId="0" xfId="5" applyAlignment="1">
      <alignment wrapText="1"/>
    </xf>
    <xf numFmtId="0" fontId="3" fillId="0" borderId="1" xfId="5" applyFont="1" applyBorder="1" applyAlignment="1">
      <alignment horizontal="center"/>
    </xf>
    <xf numFmtId="0" fontId="3" fillId="0" borderId="2" xfId="5" applyFont="1" applyBorder="1" applyAlignment="1">
      <alignment horizontal="center"/>
    </xf>
    <xf numFmtId="0" fontId="3" fillId="0" borderId="3" xfId="5" applyFont="1" applyBorder="1" applyAlignment="1">
      <alignment horizontal="center"/>
    </xf>
    <xf numFmtId="164" fontId="5" fillId="0" borderId="0" xfId="6" applyFont="1" applyFill="1" applyBorder="1" applyAlignment="1">
      <alignment horizontal="left"/>
    </xf>
    <xf numFmtId="0" fontId="11" fillId="0" borderId="12" xfId="5" applyFont="1" applyBorder="1" applyAlignment="1">
      <alignment horizontal="center" wrapText="1"/>
    </xf>
  </cellXfs>
  <cellStyles count="9">
    <cellStyle name="Moeda" xfId="2" builtinId="4"/>
    <cellStyle name="Normal" xfId="0" builtinId="0"/>
    <cellStyle name="Normal 10" xfId="3" xr:uid="{82D26611-721A-4355-82E0-53DB1E33277D}"/>
    <cellStyle name="Normal 2" xfId="5" xr:uid="{06593BDE-16E0-40B6-9B22-83A9E88E5381}"/>
    <cellStyle name="Porcentagem 2 2" xfId="4" xr:uid="{C562215C-1C09-45CF-85E6-A6E7AF1CB652}"/>
    <cellStyle name="Vírgula" xfId="1" builtinId="3"/>
    <cellStyle name="Vírgula 3" xfId="6" xr:uid="{E8951F15-B31D-4FEB-B851-AC2C14844E68}"/>
    <cellStyle name="Vírgula 4" xfId="7" xr:uid="{3D119ED6-D5C2-44E5-85A0-A1A8DFCF386A}"/>
    <cellStyle name="Vírgula 6" xfId="8" xr:uid="{80A0E59D-4ADB-49AF-9A62-A11178D4FE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207C1-0331-4B5E-8E38-0D7F69C45628}">
  <dimension ref="A1:Z224"/>
  <sheetViews>
    <sheetView tabSelected="1" workbookViewId="0">
      <selection activeCell="H7" sqref="H7"/>
    </sheetView>
  </sheetViews>
  <sheetFormatPr defaultRowHeight="15" x14ac:dyDescent="0.25"/>
  <cols>
    <col min="1" max="1" width="5.42578125" style="1" bestFit="1" customWidth="1"/>
    <col min="2" max="2" width="8.85546875" style="1" customWidth="1"/>
    <col min="3" max="3" width="11" style="82" customWidth="1"/>
    <col min="4" max="4" width="55.28515625" style="83" customWidth="1"/>
    <col min="5" max="5" width="12.28515625" style="1" customWidth="1"/>
    <col min="6" max="6" width="11" style="1" customWidth="1"/>
    <col min="7" max="7" width="12.28515625" style="84" customWidth="1"/>
    <col min="8" max="8" width="14.85546875" style="84" customWidth="1"/>
    <col min="9" max="9" width="15.85546875" style="84" customWidth="1"/>
    <col min="10" max="10" width="26.85546875" style="85" customWidth="1"/>
    <col min="11" max="12" width="11.5703125" style="1" bestFit="1" customWidth="1"/>
    <col min="13" max="256" width="9.140625" style="1"/>
    <col min="257" max="257" width="5.42578125" style="1" bestFit="1" customWidth="1"/>
    <col min="258" max="258" width="12.5703125" style="1" customWidth="1"/>
    <col min="259" max="259" width="13" style="1" customWidth="1"/>
    <col min="260" max="260" width="55.28515625" style="1" customWidth="1"/>
    <col min="261" max="261" width="11" style="1" customWidth="1"/>
    <col min="262" max="263" width="12.28515625" style="1" customWidth="1"/>
    <col min="264" max="264" width="14.85546875" style="1" customWidth="1"/>
    <col min="265" max="265" width="15.140625" style="1" customWidth="1"/>
    <col min="266" max="266" width="9.140625" style="1"/>
    <col min="267" max="268" width="11.5703125" style="1" bestFit="1" customWidth="1"/>
    <col min="269" max="512" width="9.140625" style="1"/>
    <col min="513" max="513" width="5.42578125" style="1" bestFit="1" customWidth="1"/>
    <col min="514" max="514" width="12.5703125" style="1" customWidth="1"/>
    <col min="515" max="515" width="13" style="1" customWidth="1"/>
    <col min="516" max="516" width="55.28515625" style="1" customWidth="1"/>
    <col min="517" max="517" width="11" style="1" customWidth="1"/>
    <col min="518" max="519" width="12.28515625" style="1" customWidth="1"/>
    <col min="520" max="520" width="14.85546875" style="1" customWidth="1"/>
    <col min="521" max="521" width="15.140625" style="1" customWidth="1"/>
    <col min="522" max="522" width="9.140625" style="1"/>
    <col min="523" max="524" width="11.5703125" style="1" bestFit="1" customWidth="1"/>
    <col min="525" max="768" width="9.140625" style="1"/>
    <col min="769" max="769" width="5.42578125" style="1" bestFit="1" customWidth="1"/>
    <col min="770" max="770" width="12.5703125" style="1" customWidth="1"/>
    <col min="771" max="771" width="13" style="1" customWidth="1"/>
    <col min="772" max="772" width="55.28515625" style="1" customWidth="1"/>
    <col min="773" max="773" width="11" style="1" customWidth="1"/>
    <col min="774" max="775" width="12.28515625" style="1" customWidth="1"/>
    <col min="776" max="776" width="14.85546875" style="1" customWidth="1"/>
    <col min="777" max="777" width="15.140625" style="1" customWidth="1"/>
    <col min="778" max="778" width="9.140625" style="1"/>
    <col min="779" max="780" width="11.5703125" style="1" bestFit="1" customWidth="1"/>
    <col min="781" max="1024" width="9.140625" style="1"/>
    <col min="1025" max="1025" width="5.42578125" style="1" bestFit="1" customWidth="1"/>
    <col min="1026" max="1026" width="12.5703125" style="1" customWidth="1"/>
    <col min="1027" max="1027" width="13" style="1" customWidth="1"/>
    <col min="1028" max="1028" width="55.28515625" style="1" customWidth="1"/>
    <col min="1029" max="1029" width="11" style="1" customWidth="1"/>
    <col min="1030" max="1031" width="12.28515625" style="1" customWidth="1"/>
    <col min="1032" max="1032" width="14.85546875" style="1" customWidth="1"/>
    <col min="1033" max="1033" width="15.140625" style="1" customWidth="1"/>
    <col min="1034" max="1034" width="9.140625" style="1"/>
    <col min="1035" max="1036" width="11.5703125" style="1" bestFit="1" customWidth="1"/>
    <col min="1037" max="1280" width="9.140625" style="1"/>
    <col min="1281" max="1281" width="5.42578125" style="1" bestFit="1" customWidth="1"/>
    <col min="1282" max="1282" width="12.5703125" style="1" customWidth="1"/>
    <col min="1283" max="1283" width="13" style="1" customWidth="1"/>
    <col min="1284" max="1284" width="55.28515625" style="1" customWidth="1"/>
    <col min="1285" max="1285" width="11" style="1" customWidth="1"/>
    <col min="1286" max="1287" width="12.28515625" style="1" customWidth="1"/>
    <col min="1288" max="1288" width="14.85546875" style="1" customWidth="1"/>
    <col min="1289" max="1289" width="15.140625" style="1" customWidth="1"/>
    <col min="1290" max="1290" width="9.140625" style="1"/>
    <col min="1291" max="1292" width="11.5703125" style="1" bestFit="1" customWidth="1"/>
    <col min="1293" max="1536" width="9.140625" style="1"/>
    <col min="1537" max="1537" width="5.42578125" style="1" bestFit="1" customWidth="1"/>
    <col min="1538" max="1538" width="12.5703125" style="1" customWidth="1"/>
    <col min="1539" max="1539" width="13" style="1" customWidth="1"/>
    <col min="1540" max="1540" width="55.28515625" style="1" customWidth="1"/>
    <col min="1541" max="1541" width="11" style="1" customWidth="1"/>
    <col min="1542" max="1543" width="12.28515625" style="1" customWidth="1"/>
    <col min="1544" max="1544" width="14.85546875" style="1" customWidth="1"/>
    <col min="1545" max="1545" width="15.140625" style="1" customWidth="1"/>
    <col min="1546" max="1546" width="9.140625" style="1"/>
    <col min="1547" max="1548" width="11.5703125" style="1" bestFit="1" customWidth="1"/>
    <col min="1549" max="1792" width="9.140625" style="1"/>
    <col min="1793" max="1793" width="5.42578125" style="1" bestFit="1" customWidth="1"/>
    <col min="1794" max="1794" width="12.5703125" style="1" customWidth="1"/>
    <col min="1795" max="1795" width="13" style="1" customWidth="1"/>
    <col min="1796" max="1796" width="55.28515625" style="1" customWidth="1"/>
    <col min="1797" max="1797" width="11" style="1" customWidth="1"/>
    <col min="1798" max="1799" width="12.28515625" style="1" customWidth="1"/>
    <col min="1800" max="1800" width="14.85546875" style="1" customWidth="1"/>
    <col min="1801" max="1801" width="15.140625" style="1" customWidth="1"/>
    <col min="1802" max="1802" width="9.140625" style="1"/>
    <col min="1803" max="1804" width="11.5703125" style="1" bestFit="1" customWidth="1"/>
    <col min="1805" max="2048" width="9.140625" style="1"/>
    <col min="2049" max="2049" width="5.42578125" style="1" bestFit="1" customWidth="1"/>
    <col min="2050" max="2050" width="12.5703125" style="1" customWidth="1"/>
    <col min="2051" max="2051" width="13" style="1" customWidth="1"/>
    <col min="2052" max="2052" width="55.28515625" style="1" customWidth="1"/>
    <col min="2053" max="2053" width="11" style="1" customWidth="1"/>
    <col min="2054" max="2055" width="12.28515625" style="1" customWidth="1"/>
    <col min="2056" max="2056" width="14.85546875" style="1" customWidth="1"/>
    <col min="2057" max="2057" width="15.140625" style="1" customWidth="1"/>
    <col min="2058" max="2058" width="9.140625" style="1"/>
    <col min="2059" max="2060" width="11.5703125" style="1" bestFit="1" customWidth="1"/>
    <col min="2061" max="2304" width="9.140625" style="1"/>
    <col min="2305" max="2305" width="5.42578125" style="1" bestFit="1" customWidth="1"/>
    <col min="2306" max="2306" width="12.5703125" style="1" customWidth="1"/>
    <col min="2307" max="2307" width="13" style="1" customWidth="1"/>
    <col min="2308" max="2308" width="55.28515625" style="1" customWidth="1"/>
    <col min="2309" max="2309" width="11" style="1" customWidth="1"/>
    <col min="2310" max="2311" width="12.28515625" style="1" customWidth="1"/>
    <col min="2312" max="2312" width="14.85546875" style="1" customWidth="1"/>
    <col min="2313" max="2313" width="15.140625" style="1" customWidth="1"/>
    <col min="2314" max="2314" width="9.140625" style="1"/>
    <col min="2315" max="2316" width="11.5703125" style="1" bestFit="1" customWidth="1"/>
    <col min="2317" max="2560" width="9.140625" style="1"/>
    <col min="2561" max="2561" width="5.42578125" style="1" bestFit="1" customWidth="1"/>
    <col min="2562" max="2562" width="12.5703125" style="1" customWidth="1"/>
    <col min="2563" max="2563" width="13" style="1" customWidth="1"/>
    <col min="2564" max="2564" width="55.28515625" style="1" customWidth="1"/>
    <col min="2565" max="2565" width="11" style="1" customWidth="1"/>
    <col min="2566" max="2567" width="12.28515625" style="1" customWidth="1"/>
    <col min="2568" max="2568" width="14.85546875" style="1" customWidth="1"/>
    <col min="2569" max="2569" width="15.140625" style="1" customWidth="1"/>
    <col min="2570" max="2570" width="9.140625" style="1"/>
    <col min="2571" max="2572" width="11.5703125" style="1" bestFit="1" customWidth="1"/>
    <col min="2573" max="2816" width="9.140625" style="1"/>
    <col min="2817" max="2817" width="5.42578125" style="1" bestFit="1" customWidth="1"/>
    <col min="2818" max="2818" width="12.5703125" style="1" customWidth="1"/>
    <col min="2819" max="2819" width="13" style="1" customWidth="1"/>
    <col min="2820" max="2820" width="55.28515625" style="1" customWidth="1"/>
    <col min="2821" max="2821" width="11" style="1" customWidth="1"/>
    <col min="2822" max="2823" width="12.28515625" style="1" customWidth="1"/>
    <col min="2824" max="2824" width="14.85546875" style="1" customWidth="1"/>
    <col min="2825" max="2825" width="15.140625" style="1" customWidth="1"/>
    <col min="2826" max="2826" width="9.140625" style="1"/>
    <col min="2827" max="2828" width="11.5703125" style="1" bestFit="1" customWidth="1"/>
    <col min="2829" max="3072" width="9.140625" style="1"/>
    <col min="3073" max="3073" width="5.42578125" style="1" bestFit="1" customWidth="1"/>
    <col min="3074" max="3074" width="12.5703125" style="1" customWidth="1"/>
    <col min="3075" max="3075" width="13" style="1" customWidth="1"/>
    <col min="3076" max="3076" width="55.28515625" style="1" customWidth="1"/>
    <col min="3077" max="3077" width="11" style="1" customWidth="1"/>
    <col min="3078" max="3079" width="12.28515625" style="1" customWidth="1"/>
    <col min="3080" max="3080" width="14.85546875" style="1" customWidth="1"/>
    <col min="3081" max="3081" width="15.140625" style="1" customWidth="1"/>
    <col min="3082" max="3082" width="9.140625" style="1"/>
    <col min="3083" max="3084" width="11.5703125" style="1" bestFit="1" customWidth="1"/>
    <col min="3085" max="3328" width="9.140625" style="1"/>
    <col min="3329" max="3329" width="5.42578125" style="1" bestFit="1" customWidth="1"/>
    <col min="3330" max="3330" width="12.5703125" style="1" customWidth="1"/>
    <col min="3331" max="3331" width="13" style="1" customWidth="1"/>
    <col min="3332" max="3332" width="55.28515625" style="1" customWidth="1"/>
    <col min="3333" max="3333" width="11" style="1" customWidth="1"/>
    <col min="3334" max="3335" width="12.28515625" style="1" customWidth="1"/>
    <col min="3336" max="3336" width="14.85546875" style="1" customWidth="1"/>
    <col min="3337" max="3337" width="15.140625" style="1" customWidth="1"/>
    <col min="3338" max="3338" width="9.140625" style="1"/>
    <col min="3339" max="3340" width="11.5703125" style="1" bestFit="1" customWidth="1"/>
    <col min="3341" max="3584" width="9.140625" style="1"/>
    <col min="3585" max="3585" width="5.42578125" style="1" bestFit="1" customWidth="1"/>
    <col min="3586" max="3586" width="12.5703125" style="1" customWidth="1"/>
    <col min="3587" max="3587" width="13" style="1" customWidth="1"/>
    <col min="3588" max="3588" width="55.28515625" style="1" customWidth="1"/>
    <col min="3589" max="3589" width="11" style="1" customWidth="1"/>
    <col min="3590" max="3591" width="12.28515625" style="1" customWidth="1"/>
    <col min="3592" max="3592" width="14.85546875" style="1" customWidth="1"/>
    <col min="3593" max="3593" width="15.140625" style="1" customWidth="1"/>
    <col min="3594" max="3594" width="9.140625" style="1"/>
    <col min="3595" max="3596" width="11.5703125" style="1" bestFit="1" customWidth="1"/>
    <col min="3597" max="3840" width="9.140625" style="1"/>
    <col min="3841" max="3841" width="5.42578125" style="1" bestFit="1" customWidth="1"/>
    <col min="3842" max="3842" width="12.5703125" style="1" customWidth="1"/>
    <col min="3843" max="3843" width="13" style="1" customWidth="1"/>
    <col min="3844" max="3844" width="55.28515625" style="1" customWidth="1"/>
    <col min="3845" max="3845" width="11" style="1" customWidth="1"/>
    <col min="3846" max="3847" width="12.28515625" style="1" customWidth="1"/>
    <col min="3848" max="3848" width="14.85546875" style="1" customWidth="1"/>
    <col min="3849" max="3849" width="15.140625" style="1" customWidth="1"/>
    <col min="3850" max="3850" width="9.140625" style="1"/>
    <col min="3851" max="3852" width="11.5703125" style="1" bestFit="1" customWidth="1"/>
    <col min="3853" max="4096" width="9.140625" style="1"/>
    <col min="4097" max="4097" width="5.42578125" style="1" bestFit="1" customWidth="1"/>
    <col min="4098" max="4098" width="12.5703125" style="1" customWidth="1"/>
    <col min="4099" max="4099" width="13" style="1" customWidth="1"/>
    <col min="4100" max="4100" width="55.28515625" style="1" customWidth="1"/>
    <col min="4101" max="4101" width="11" style="1" customWidth="1"/>
    <col min="4102" max="4103" width="12.28515625" style="1" customWidth="1"/>
    <col min="4104" max="4104" width="14.85546875" style="1" customWidth="1"/>
    <col min="4105" max="4105" width="15.140625" style="1" customWidth="1"/>
    <col min="4106" max="4106" width="9.140625" style="1"/>
    <col min="4107" max="4108" width="11.5703125" style="1" bestFit="1" customWidth="1"/>
    <col min="4109" max="4352" width="9.140625" style="1"/>
    <col min="4353" max="4353" width="5.42578125" style="1" bestFit="1" customWidth="1"/>
    <col min="4354" max="4354" width="12.5703125" style="1" customWidth="1"/>
    <col min="4355" max="4355" width="13" style="1" customWidth="1"/>
    <col min="4356" max="4356" width="55.28515625" style="1" customWidth="1"/>
    <col min="4357" max="4357" width="11" style="1" customWidth="1"/>
    <col min="4358" max="4359" width="12.28515625" style="1" customWidth="1"/>
    <col min="4360" max="4360" width="14.85546875" style="1" customWidth="1"/>
    <col min="4361" max="4361" width="15.140625" style="1" customWidth="1"/>
    <col min="4362" max="4362" width="9.140625" style="1"/>
    <col min="4363" max="4364" width="11.5703125" style="1" bestFit="1" customWidth="1"/>
    <col min="4365" max="4608" width="9.140625" style="1"/>
    <col min="4609" max="4609" width="5.42578125" style="1" bestFit="1" customWidth="1"/>
    <col min="4610" max="4610" width="12.5703125" style="1" customWidth="1"/>
    <col min="4611" max="4611" width="13" style="1" customWidth="1"/>
    <col min="4612" max="4612" width="55.28515625" style="1" customWidth="1"/>
    <col min="4613" max="4613" width="11" style="1" customWidth="1"/>
    <col min="4614" max="4615" width="12.28515625" style="1" customWidth="1"/>
    <col min="4616" max="4616" width="14.85546875" style="1" customWidth="1"/>
    <col min="4617" max="4617" width="15.140625" style="1" customWidth="1"/>
    <col min="4618" max="4618" width="9.140625" style="1"/>
    <col min="4619" max="4620" width="11.5703125" style="1" bestFit="1" customWidth="1"/>
    <col min="4621" max="4864" width="9.140625" style="1"/>
    <col min="4865" max="4865" width="5.42578125" style="1" bestFit="1" customWidth="1"/>
    <col min="4866" max="4866" width="12.5703125" style="1" customWidth="1"/>
    <col min="4867" max="4867" width="13" style="1" customWidth="1"/>
    <col min="4868" max="4868" width="55.28515625" style="1" customWidth="1"/>
    <col min="4869" max="4869" width="11" style="1" customWidth="1"/>
    <col min="4870" max="4871" width="12.28515625" style="1" customWidth="1"/>
    <col min="4872" max="4872" width="14.85546875" style="1" customWidth="1"/>
    <col min="4873" max="4873" width="15.140625" style="1" customWidth="1"/>
    <col min="4874" max="4874" width="9.140625" style="1"/>
    <col min="4875" max="4876" width="11.5703125" style="1" bestFit="1" customWidth="1"/>
    <col min="4877" max="5120" width="9.140625" style="1"/>
    <col min="5121" max="5121" width="5.42578125" style="1" bestFit="1" customWidth="1"/>
    <col min="5122" max="5122" width="12.5703125" style="1" customWidth="1"/>
    <col min="5123" max="5123" width="13" style="1" customWidth="1"/>
    <col min="5124" max="5124" width="55.28515625" style="1" customWidth="1"/>
    <col min="5125" max="5125" width="11" style="1" customWidth="1"/>
    <col min="5126" max="5127" width="12.28515625" style="1" customWidth="1"/>
    <col min="5128" max="5128" width="14.85546875" style="1" customWidth="1"/>
    <col min="5129" max="5129" width="15.140625" style="1" customWidth="1"/>
    <col min="5130" max="5130" width="9.140625" style="1"/>
    <col min="5131" max="5132" width="11.5703125" style="1" bestFit="1" customWidth="1"/>
    <col min="5133" max="5376" width="9.140625" style="1"/>
    <col min="5377" max="5377" width="5.42578125" style="1" bestFit="1" customWidth="1"/>
    <col min="5378" max="5378" width="12.5703125" style="1" customWidth="1"/>
    <col min="5379" max="5379" width="13" style="1" customWidth="1"/>
    <col min="5380" max="5380" width="55.28515625" style="1" customWidth="1"/>
    <col min="5381" max="5381" width="11" style="1" customWidth="1"/>
    <col min="5382" max="5383" width="12.28515625" style="1" customWidth="1"/>
    <col min="5384" max="5384" width="14.85546875" style="1" customWidth="1"/>
    <col min="5385" max="5385" width="15.140625" style="1" customWidth="1"/>
    <col min="5386" max="5386" width="9.140625" style="1"/>
    <col min="5387" max="5388" width="11.5703125" style="1" bestFit="1" customWidth="1"/>
    <col min="5389" max="5632" width="9.140625" style="1"/>
    <col min="5633" max="5633" width="5.42578125" style="1" bestFit="1" customWidth="1"/>
    <col min="5634" max="5634" width="12.5703125" style="1" customWidth="1"/>
    <col min="5635" max="5635" width="13" style="1" customWidth="1"/>
    <col min="5636" max="5636" width="55.28515625" style="1" customWidth="1"/>
    <col min="5637" max="5637" width="11" style="1" customWidth="1"/>
    <col min="5638" max="5639" width="12.28515625" style="1" customWidth="1"/>
    <col min="5640" max="5640" width="14.85546875" style="1" customWidth="1"/>
    <col min="5641" max="5641" width="15.140625" style="1" customWidth="1"/>
    <col min="5642" max="5642" width="9.140625" style="1"/>
    <col min="5643" max="5644" width="11.5703125" style="1" bestFit="1" customWidth="1"/>
    <col min="5645" max="5888" width="9.140625" style="1"/>
    <col min="5889" max="5889" width="5.42578125" style="1" bestFit="1" customWidth="1"/>
    <col min="5890" max="5890" width="12.5703125" style="1" customWidth="1"/>
    <col min="5891" max="5891" width="13" style="1" customWidth="1"/>
    <col min="5892" max="5892" width="55.28515625" style="1" customWidth="1"/>
    <col min="5893" max="5893" width="11" style="1" customWidth="1"/>
    <col min="5894" max="5895" width="12.28515625" style="1" customWidth="1"/>
    <col min="5896" max="5896" width="14.85546875" style="1" customWidth="1"/>
    <col min="5897" max="5897" width="15.140625" style="1" customWidth="1"/>
    <col min="5898" max="5898" width="9.140625" style="1"/>
    <col min="5899" max="5900" width="11.5703125" style="1" bestFit="1" customWidth="1"/>
    <col min="5901" max="6144" width="9.140625" style="1"/>
    <col min="6145" max="6145" width="5.42578125" style="1" bestFit="1" customWidth="1"/>
    <col min="6146" max="6146" width="12.5703125" style="1" customWidth="1"/>
    <col min="6147" max="6147" width="13" style="1" customWidth="1"/>
    <col min="6148" max="6148" width="55.28515625" style="1" customWidth="1"/>
    <col min="6149" max="6149" width="11" style="1" customWidth="1"/>
    <col min="6150" max="6151" width="12.28515625" style="1" customWidth="1"/>
    <col min="6152" max="6152" width="14.85546875" style="1" customWidth="1"/>
    <col min="6153" max="6153" width="15.140625" style="1" customWidth="1"/>
    <col min="6154" max="6154" width="9.140625" style="1"/>
    <col min="6155" max="6156" width="11.5703125" style="1" bestFit="1" customWidth="1"/>
    <col min="6157" max="6400" width="9.140625" style="1"/>
    <col min="6401" max="6401" width="5.42578125" style="1" bestFit="1" customWidth="1"/>
    <col min="6402" max="6402" width="12.5703125" style="1" customWidth="1"/>
    <col min="6403" max="6403" width="13" style="1" customWidth="1"/>
    <col min="6404" max="6404" width="55.28515625" style="1" customWidth="1"/>
    <col min="6405" max="6405" width="11" style="1" customWidth="1"/>
    <col min="6406" max="6407" width="12.28515625" style="1" customWidth="1"/>
    <col min="6408" max="6408" width="14.85546875" style="1" customWidth="1"/>
    <col min="6409" max="6409" width="15.140625" style="1" customWidth="1"/>
    <col min="6410" max="6410" width="9.140625" style="1"/>
    <col min="6411" max="6412" width="11.5703125" style="1" bestFit="1" customWidth="1"/>
    <col min="6413" max="6656" width="9.140625" style="1"/>
    <col min="6657" max="6657" width="5.42578125" style="1" bestFit="1" customWidth="1"/>
    <col min="6658" max="6658" width="12.5703125" style="1" customWidth="1"/>
    <col min="6659" max="6659" width="13" style="1" customWidth="1"/>
    <col min="6660" max="6660" width="55.28515625" style="1" customWidth="1"/>
    <col min="6661" max="6661" width="11" style="1" customWidth="1"/>
    <col min="6662" max="6663" width="12.28515625" style="1" customWidth="1"/>
    <col min="6664" max="6664" width="14.85546875" style="1" customWidth="1"/>
    <col min="6665" max="6665" width="15.140625" style="1" customWidth="1"/>
    <col min="6666" max="6666" width="9.140625" style="1"/>
    <col min="6667" max="6668" width="11.5703125" style="1" bestFit="1" customWidth="1"/>
    <col min="6669" max="6912" width="9.140625" style="1"/>
    <col min="6913" max="6913" width="5.42578125" style="1" bestFit="1" customWidth="1"/>
    <col min="6914" max="6914" width="12.5703125" style="1" customWidth="1"/>
    <col min="6915" max="6915" width="13" style="1" customWidth="1"/>
    <col min="6916" max="6916" width="55.28515625" style="1" customWidth="1"/>
    <col min="6917" max="6917" width="11" style="1" customWidth="1"/>
    <col min="6918" max="6919" width="12.28515625" style="1" customWidth="1"/>
    <col min="6920" max="6920" width="14.85546875" style="1" customWidth="1"/>
    <col min="6921" max="6921" width="15.140625" style="1" customWidth="1"/>
    <col min="6922" max="6922" width="9.140625" style="1"/>
    <col min="6923" max="6924" width="11.5703125" style="1" bestFit="1" customWidth="1"/>
    <col min="6925" max="7168" width="9.140625" style="1"/>
    <col min="7169" max="7169" width="5.42578125" style="1" bestFit="1" customWidth="1"/>
    <col min="7170" max="7170" width="12.5703125" style="1" customWidth="1"/>
    <col min="7171" max="7171" width="13" style="1" customWidth="1"/>
    <col min="7172" max="7172" width="55.28515625" style="1" customWidth="1"/>
    <col min="7173" max="7173" width="11" style="1" customWidth="1"/>
    <col min="7174" max="7175" width="12.28515625" style="1" customWidth="1"/>
    <col min="7176" max="7176" width="14.85546875" style="1" customWidth="1"/>
    <col min="7177" max="7177" width="15.140625" style="1" customWidth="1"/>
    <col min="7178" max="7178" width="9.140625" style="1"/>
    <col min="7179" max="7180" width="11.5703125" style="1" bestFit="1" customWidth="1"/>
    <col min="7181" max="7424" width="9.140625" style="1"/>
    <col min="7425" max="7425" width="5.42578125" style="1" bestFit="1" customWidth="1"/>
    <col min="7426" max="7426" width="12.5703125" style="1" customWidth="1"/>
    <col min="7427" max="7427" width="13" style="1" customWidth="1"/>
    <col min="7428" max="7428" width="55.28515625" style="1" customWidth="1"/>
    <col min="7429" max="7429" width="11" style="1" customWidth="1"/>
    <col min="7430" max="7431" width="12.28515625" style="1" customWidth="1"/>
    <col min="7432" max="7432" width="14.85546875" style="1" customWidth="1"/>
    <col min="7433" max="7433" width="15.140625" style="1" customWidth="1"/>
    <col min="7434" max="7434" width="9.140625" style="1"/>
    <col min="7435" max="7436" width="11.5703125" style="1" bestFit="1" customWidth="1"/>
    <col min="7437" max="7680" width="9.140625" style="1"/>
    <col min="7681" max="7681" width="5.42578125" style="1" bestFit="1" customWidth="1"/>
    <col min="7682" max="7682" width="12.5703125" style="1" customWidth="1"/>
    <col min="7683" max="7683" width="13" style="1" customWidth="1"/>
    <col min="7684" max="7684" width="55.28515625" style="1" customWidth="1"/>
    <col min="7685" max="7685" width="11" style="1" customWidth="1"/>
    <col min="7686" max="7687" width="12.28515625" style="1" customWidth="1"/>
    <col min="7688" max="7688" width="14.85546875" style="1" customWidth="1"/>
    <col min="7689" max="7689" width="15.140625" style="1" customWidth="1"/>
    <col min="7690" max="7690" width="9.140625" style="1"/>
    <col min="7691" max="7692" width="11.5703125" style="1" bestFit="1" customWidth="1"/>
    <col min="7693" max="7936" width="9.140625" style="1"/>
    <col min="7937" max="7937" width="5.42578125" style="1" bestFit="1" customWidth="1"/>
    <col min="7938" max="7938" width="12.5703125" style="1" customWidth="1"/>
    <col min="7939" max="7939" width="13" style="1" customWidth="1"/>
    <col min="7940" max="7940" width="55.28515625" style="1" customWidth="1"/>
    <col min="7941" max="7941" width="11" style="1" customWidth="1"/>
    <col min="7942" max="7943" width="12.28515625" style="1" customWidth="1"/>
    <col min="7944" max="7944" width="14.85546875" style="1" customWidth="1"/>
    <col min="7945" max="7945" width="15.140625" style="1" customWidth="1"/>
    <col min="7946" max="7946" width="9.140625" style="1"/>
    <col min="7947" max="7948" width="11.5703125" style="1" bestFit="1" customWidth="1"/>
    <col min="7949" max="8192" width="9.140625" style="1"/>
    <col min="8193" max="8193" width="5.42578125" style="1" bestFit="1" customWidth="1"/>
    <col min="8194" max="8194" width="12.5703125" style="1" customWidth="1"/>
    <col min="8195" max="8195" width="13" style="1" customWidth="1"/>
    <col min="8196" max="8196" width="55.28515625" style="1" customWidth="1"/>
    <col min="8197" max="8197" width="11" style="1" customWidth="1"/>
    <col min="8198" max="8199" width="12.28515625" style="1" customWidth="1"/>
    <col min="8200" max="8200" width="14.85546875" style="1" customWidth="1"/>
    <col min="8201" max="8201" width="15.140625" style="1" customWidth="1"/>
    <col min="8202" max="8202" width="9.140625" style="1"/>
    <col min="8203" max="8204" width="11.5703125" style="1" bestFit="1" customWidth="1"/>
    <col min="8205" max="8448" width="9.140625" style="1"/>
    <col min="8449" max="8449" width="5.42578125" style="1" bestFit="1" customWidth="1"/>
    <col min="8450" max="8450" width="12.5703125" style="1" customWidth="1"/>
    <col min="8451" max="8451" width="13" style="1" customWidth="1"/>
    <col min="8452" max="8452" width="55.28515625" style="1" customWidth="1"/>
    <col min="8453" max="8453" width="11" style="1" customWidth="1"/>
    <col min="8454" max="8455" width="12.28515625" style="1" customWidth="1"/>
    <col min="8456" max="8456" width="14.85546875" style="1" customWidth="1"/>
    <col min="8457" max="8457" width="15.140625" style="1" customWidth="1"/>
    <col min="8458" max="8458" width="9.140625" style="1"/>
    <col min="8459" max="8460" width="11.5703125" style="1" bestFit="1" customWidth="1"/>
    <col min="8461" max="8704" width="9.140625" style="1"/>
    <col min="8705" max="8705" width="5.42578125" style="1" bestFit="1" customWidth="1"/>
    <col min="8706" max="8706" width="12.5703125" style="1" customWidth="1"/>
    <col min="8707" max="8707" width="13" style="1" customWidth="1"/>
    <col min="8708" max="8708" width="55.28515625" style="1" customWidth="1"/>
    <col min="8709" max="8709" width="11" style="1" customWidth="1"/>
    <col min="8710" max="8711" width="12.28515625" style="1" customWidth="1"/>
    <col min="8712" max="8712" width="14.85546875" style="1" customWidth="1"/>
    <col min="8713" max="8713" width="15.140625" style="1" customWidth="1"/>
    <col min="8714" max="8714" width="9.140625" style="1"/>
    <col min="8715" max="8716" width="11.5703125" style="1" bestFit="1" customWidth="1"/>
    <col min="8717" max="8960" width="9.140625" style="1"/>
    <col min="8961" max="8961" width="5.42578125" style="1" bestFit="1" customWidth="1"/>
    <col min="8962" max="8962" width="12.5703125" style="1" customWidth="1"/>
    <col min="8963" max="8963" width="13" style="1" customWidth="1"/>
    <col min="8964" max="8964" width="55.28515625" style="1" customWidth="1"/>
    <col min="8965" max="8965" width="11" style="1" customWidth="1"/>
    <col min="8966" max="8967" width="12.28515625" style="1" customWidth="1"/>
    <col min="8968" max="8968" width="14.85546875" style="1" customWidth="1"/>
    <col min="8969" max="8969" width="15.140625" style="1" customWidth="1"/>
    <col min="8970" max="8970" width="9.140625" style="1"/>
    <col min="8971" max="8972" width="11.5703125" style="1" bestFit="1" customWidth="1"/>
    <col min="8973" max="9216" width="9.140625" style="1"/>
    <col min="9217" max="9217" width="5.42578125" style="1" bestFit="1" customWidth="1"/>
    <col min="9218" max="9218" width="12.5703125" style="1" customWidth="1"/>
    <col min="9219" max="9219" width="13" style="1" customWidth="1"/>
    <col min="9220" max="9220" width="55.28515625" style="1" customWidth="1"/>
    <col min="9221" max="9221" width="11" style="1" customWidth="1"/>
    <col min="9222" max="9223" width="12.28515625" style="1" customWidth="1"/>
    <col min="9224" max="9224" width="14.85546875" style="1" customWidth="1"/>
    <col min="9225" max="9225" width="15.140625" style="1" customWidth="1"/>
    <col min="9226" max="9226" width="9.140625" style="1"/>
    <col min="9227" max="9228" width="11.5703125" style="1" bestFit="1" customWidth="1"/>
    <col min="9229" max="9472" width="9.140625" style="1"/>
    <col min="9473" max="9473" width="5.42578125" style="1" bestFit="1" customWidth="1"/>
    <col min="9474" max="9474" width="12.5703125" style="1" customWidth="1"/>
    <col min="9475" max="9475" width="13" style="1" customWidth="1"/>
    <col min="9476" max="9476" width="55.28515625" style="1" customWidth="1"/>
    <col min="9477" max="9477" width="11" style="1" customWidth="1"/>
    <col min="9478" max="9479" width="12.28515625" style="1" customWidth="1"/>
    <col min="9480" max="9480" width="14.85546875" style="1" customWidth="1"/>
    <col min="9481" max="9481" width="15.140625" style="1" customWidth="1"/>
    <col min="9482" max="9482" width="9.140625" style="1"/>
    <col min="9483" max="9484" width="11.5703125" style="1" bestFit="1" customWidth="1"/>
    <col min="9485" max="9728" width="9.140625" style="1"/>
    <col min="9729" max="9729" width="5.42578125" style="1" bestFit="1" customWidth="1"/>
    <col min="9730" max="9730" width="12.5703125" style="1" customWidth="1"/>
    <col min="9731" max="9731" width="13" style="1" customWidth="1"/>
    <col min="9732" max="9732" width="55.28515625" style="1" customWidth="1"/>
    <col min="9733" max="9733" width="11" style="1" customWidth="1"/>
    <col min="9734" max="9735" width="12.28515625" style="1" customWidth="1"/>
    <col min="9736" max="9736" width="14.85546875" style="1" customWidth="1"/>
    <col min="9737" max="9737" width="15.140625" style="1" customWidth="1"/>
    <col min="9738" max="9738" width="9.140625" style="1"/>
    <col min="9739" max="9740" width="11.5703125" style="1" bestFit="1" customWidth="1"/>
    <col min="9741" max="9984" width="9.140625" style="1"/>
    <col min="9985" max="9985" width="5.42578125" style="1" bestFit="1" customWidth="1"/>
    <col min="9986" max="9986" width="12.5703125" style="1" customWidth="1"/>
    <col min="9987" max="9987" width="13" style="1" customWidth="1"/>
    <col min="9988" max="9988" width="55.28515625" style="1" customWidth="1"/>
    <col min="9989" max="9989" width="11" style="1" customWidth="1"/>
    <col min="9990" max="9991" width="12.28515625" style="1" customWidth="1"/>
    <col min="9992" max="9992" width="14.85546875" style="1" customWidth="1"/>
    <col min="9993" max="9993" width="15.140625" style="1" customWidth="1"/>
    <col min="9994" max="9994" width="9.140625" style="1"/>
    <col min="9995" max="9996" width="11.5703125" style="1" bestFit="1" customWidth="1"/>
    <col min="9997" max="10240" width="9.140625" style="1"/>
    <col min="10241" max="10241" width="5.42578125" style="1" bestFit="1" customWidth="1"/>
    <col min="10242" max="10242" width="12.5703125" style="1" customWidth="1"/>
    <col min="10243" max="10243" width="13" style="1" customWidth="1"/>
    <col min="10244" max="10244" width="55.28515625" style="1" customWidth="1"/>
    <col min="10245" max="10245" width="11" style="1" customWidth="1"/>
    <col min="10246" max="10247" width="12.28515625" style="1" customWidth="1"/>
    <col min="10248" max="10248" width="14.85546875" style="1" customWidth="1"/>
    <col min="10249" max="10249" width="15.140625" style="1" customWidth="1"/>
    <col min="10250" max="10250" width="9.140625" style="1"/>
    <col min="10251" max="10252" width="11.5703125" style="1" bestFit="1" customWidth="1"/>
    <col min="10253" max="10496" width="9.140625" style="1"/>
    <col min="10497" max="10497" width="5.42578125" style="1" bestFit="1" customWidth="1"/>
    <col min="10498" max="10498" width="12.5703125" style="1" customWidth="1"/>
    <col min="10499" max="10499" width="13" style="1" customWidth="1"/>
    <col min="10500" max="10500" width="55.28515625" style="1" customWidth="1"/>
    <col min="10501" max="10501" width="11" style="1" customWidth="1"/>
    <col min="10502" max="10503" width="12.28515625" style="1" customWidth="1"/>
    <col min="10504" max="10504" width="14.85546875" style="1" customWidth="1"/>
    <col min="10505" max="10505" width="15.140625" style="1" customWidth="1"/>
    <col min="10506" max="10506" width="9.140625" style="1"/>
    <col min="10507" max="10508" width="11.5703125" style="1" bestFit="1" customWidth="1"/>
    <col min="10509" max="10752" width="9.140625" style="1"/>
    <col min="10753" max="10753" width="5.42578125" style="1" bestFit="1" customWidth="1"/>
    <col min="10754" max="10754" width="12.5703125" style="1" customWidth="1"/>
    <col min="10755" max="10755" width="13" style="1" customWidth="1"/>
    <col min="10756" max="10756" width="55.28515625" style="1" customWidth="1"/>
    <col min="10757" max="10757" width="11" style="1" customWidth="1"/>
    <col min="10758" max="10759" width="12.28515625" style="1" customWidth="1"/>
    <col min="10760" max="10760" width="14.85546875" style="1" customWidth="1"/>
    <col min="10761" max="10761" width="15.140625" style="1" customWidth="1"/>
    <col min="10762" max="10762" width="9.140625" style="1"/>
    <col min="10763" max="10764" width="11.5703125" style="1" bestFit="1" customWidth="1"/>
    <col min="10765" max="11008" width="9.140625" style="1"/>
    <col min="11009" max="11009" width="5.42578125" style="1" bestFit="1" customWidth="1"/>
    <col min="11010" max="11010" width="12.5703125" style="1" customWidth="1"/>
    <col min="11011" max="11011" width="13" style="1" customWidth="1"/>
    <col min="11012" max="11012" width="55.28515625" style="1" customWidth="1"/>
    <col min="11013" max="11013" width="11" style="1" customWidth="1"/>
    <col min="11014" max="11015" width="12.28515625" style="1" customWidth="1"/>
    <col min="11016" max="11016" width="14.85546875" style="1" customWidth="1"/>
    <col min="11017" max="11017" width="15.140625" style="1" customWidth="1"/>
    <col min="11018" max="11018" width="9.140625" style="1"/>
    <col min="11019" max="11020" width="11.5703125" style="1" bestFit="1" customWidth="1"/>
    <col min="11021" max="11264" width="9.140625" style="1"/>
    <col min="11265" max="11265" width="5.42578125" style="1" bestFit="1" customWidth="1"/>
    <col min="11266" max="11266" width="12.5703125" style="1" customWidth="1"/>
    <col min="11267" max="11267" width="13" style="1" customWidth="1"/>
    <col min="11268" max="11268" width="55.28515625" style="1" customWidth="1"/>
    <col min="11269" max="11269" width="11" style="1" customWidth="1"/>
    <col min="11270" max="11271" width="12.28515625" style="1" customWidth="1"/>
    <col min="11272" max="11272" width="14.85546875" style="1" customWidth="1"/>
    <col min="11273" max="11273" width="15.140625" style="1" customWidth="1"/>
    <col min="11274" max="11274" width="9.140625" style="1"/>
    <col min="11275" max="11276" width="11.5703125" style="1" bestFit="1" customWidth="1"/>
    <col min="11277" max="11520" width="9.140625" style="1"/>
    <col min="11521" max="11521" width="5.42578125" style="1" bestFit="1" customWidth="1"/>
    <col min="11522" max="11522" width="12.5703125" style="1" customWidth="1"/>
    <col min="11523" max="11523" width="13" style="1" customWidth="1"/>
    <col min="11524" max="11524" width="55.28515625" style="1" customWidth="1"/>
    <col min="11525" max="11525" width="11" style="1" customWidth="1"/>
    <col min="11526" max="11527" width="12.28515625" style="1" customWidth="1"/>
    <col min="11528" max="11528" width="14.85546875" style="1" customWidth="1"/>
    <col min="11529" max="11529" width="15.140625" style="1" customWidth="1"/>
    <col min="11530" max="11530" width="9.140625" style="1"/>
    <col min="11531" max="11532" width="11.5703125" style="1" bestFit="1" customWidth="1"/>
    <col min="11533" max="11776" width="9.140625" style="1"/>
    <col min="11777" max="11777" width="5.42578125" style="1" bestFit="1" customWidth="1"/>
    <col min="11778" max="11778" width="12.5703125" style="1" customWidth="1"/>
    <col min="11779" max="11779" width="13" style="1" customWidth="1"/>
    <col min="11780" max="11780" width="55.28515625" style="1" customWidth="1"/>
    <col min="11781" max="11781" width="11" style="1" customWidth="1"/>
    <col min="11782" max="11783" width="12.28515625" style="1" customWidth="1"/>
    <col min="11784" max="11784" width="14.85546875" style="1" customWidth="1"/>
    <col min="11785" max="11785" width="15.140625" style="1" customWidth="1"/>
    <col min="11786" max="11786" width="9.140625" style="1"/>
    <col min="11787" max="11788" width="11.5703125" style="1" bestFit="1" customWidth="1"/>
    <col min="11789" max="12032" width="9.140625" style="1"/>
    <col min="12033" max="12033" width="5.42578125" style="1" bestFit="1" customWidth="1"/>
    <col min="12034" max="12034" width="12.5703125" style="1" customWidth="1"/>
    <col min="12035" max="12035" width="13" style="1" customWidth="1"/>
    <col min="12036" max="12036" width="55.28515625" style="1" customWidth="1"/>
    <col min="12037" max="12037" width="11" style="1" customWidth="1"/>
    <col min="12038" max="12039" width="12.28515625" style="1" customWidth="1"/>
    <col min="12040" max="12040" width="14.85546875" style="1" customWidth="1"/>
    <col min="12041" max="12041" width="15.140625" style="1" customWidth="1"/>
    <col min="12042" max="12042" width="9.140625" style="1"/>
    <col min="12043" max="12044" width="11.5703125" style="1" bestFit="1" customWidth="1"/>
    <col min="12045" max="12288" width="9.140625" style="1"/>
    <col min="12289" max="12289" width="5.42578125" style="1" bestFit="1" customWidth="1"/>
    <col min="12290" max="12290" width="12.5703125" style="1" customWidth="1"/>
    <col min="12291" max="12291" width="13" style="1" customWidth="1"/>
    <col min="12292" max="12292" width="55.28515625" style="1" customWidth="1"/>
    <col min="12293" max="12293" width="11" style="1" customWidth="1"/>
    <col min="12294" max="12295" width="12.28515625" style="1" customWidth="1"/>
    <col min="12296" max="12296" width="14.85546875" style="1" customWidth="1"/>
    <col min="12297" max="12297" width="15.140625" style="1" customWidth="1"/>
    <col min="12298" max="12298" width="9.140625" style="1"/>
    <col min="12299" max="12300" width="11.5703125" style="1" bestFit="1" customWidth="1"/>
    <col min="12301" max="12544" width="9.140625" style="1"/>
    <col min="12545" max="12545" width="5.42578125" style="1" bestFit="1" customWidth="1"/>
    <col min="12546" max="12546" width="12.5703125" style="1" customWidth="1"/>
    <col min="12547" max="12547" width="13" style="1" customWidth="1"/>
    <col min="12548" max="12548" width="55.28515625" style="1" customWidth="1"/>
    <col min="12549" max="12549" width="11" style="1" customWidth="1"/>
    <col min="12550" max="12551" width="12.28515625" style="1" customWidth="1"/>
    <col min="12552" max="12552" width="14.85546875" style="1" customWidth="1"/>
    <col min="12553" max="12553" width="15.140625" style="1" customWidth="1"/>
    <col min="12554" max="12554" width="9.140625" style="1"/>
    <col min="12555" max="12556" width="11.5703125" style="1" bestFit="1" customWidth="1"/>
    <col min="12557" max="12800" width="9.140625" style="1"/>
    <col min="12801" max="12801" width="5.42578125" style="1" bestFit="1" customWidth="1"/>
    <col min="12802" max="12802" width="12.5703125" style="1" customWidth="1"/>
    <col min="12803" max="12803" width="13" style="1" customWidth="1"/>
    <col min="12804" max="12804" width="55.28515625" style="1" customWidth="1"/>
    <col min="12805" max="12805" width="11" style="1" customWidth="1"/>
    <col min="12806" max="12807" width="12.28515625" style="1" customWidth="1"/>
    <col min="12808" max="12808" width="14.85546875" style="1" customWidth="1"/>
    <col min="12809" max="12809" width="15.140625" style="1" customWidth="1"/>
    <col min="12810" max="12810" width="9.140625" style="1"/>
    <col min="12811" max="12812" width="11.5703125" style="1" bestFit="1" customWidth="1"/>
    <col min="12813" max="13056" width="9.140625" style="1"/>
    <col min="13057" max="13057" width="5.42578125" style="1" bestFit="1" customWidth="1"/>
    <col min="13058" max="13058" width="12.5703125" style="1" customWidth="1"/>
    <col min="13059" max="13059" width="13" style="1" customWidth="1"/>
    <col min="13060" max="13060" width="55.28515625" style="1" customWidth="1"/>
    <col min="13061" max="13061" width="11" style="1" customWidth="1"/>
    <col min="13062" max="13063" width="12.28515625" style="1" customWidth="1"/>
    <col min="13064" max="13064" width="14.85546875" style="1" customWidth="1"/>
    <col min="13065" max="13065" width="15.140625" style="1" customWidth="1"/>
    <col min="13066" max="13066" width="9.140625" style="1"/>
    <col min="13067" max="13068" width="11.5703125" style="1" bestFit="1" customWidth="1"/>
    <col min="13069" max="13312" width="9.140625" style="1"/>
    <col min="13313" max="13313" width="5.42578125" style="1" bestFit="1" customWidth="1"/>
    <col min="13314" max="13314" width="12.5703125" style="1" customWidth="1"/>
    <col min="13315" max="13315" width="13" style="1" customWidth="1"/>
    <col min="13316" max="13316" width="55.28515625" style="1" customWidth="1"/>
    <col min="13317" max="13317" width="11" style="1" customWidth="1"/>
    <col min="13318" max="13319" width="12.28515625" style="1" customWidth="1"/>
    <col min="13320" max="13320" width="14.85546875" style="1" customWidth="1"/>
    <col min="13321" max="13321" width="15.140625" style="1" customWidth="1"/>
    <col min="13322" max="13322" width="9.140625" style="1"/>
    <col min="13323" max="13324" width="11.5703125" style="1" bestFit="1" customWidth="1"/>
    <col min="13325" max="13568" width="9.140625" style="1"/>
    <col min="13569" max="13569" width="5.42578125" style="1" bestFit="1" customWidth="1"/>
    <col min="13570" max="13570" width="12.5703125" style="1" customWidth="1"/>
    <col min="13571" max="13571" width="13" style="1" customWidth="1"/>
    <col min="13572" max="13572" width="55.28515625" style="1" customWidth="1"/>
    <col min="13573" max="13573" width="11" style="1" customWidth="1"/>
    <col min="13574" max="13575" width="12.28515625" style="1" customWidth="1"/>
    <col min="13576" max="13576" width="14.85546875" style="1" customWidth="1"/>
    <col min="13577" max="13577" width="15.140625" style="1" customWidth="1"/>
    <col min="13578" max="13578" width="9.140625" style="1"/>
    <col min="13579" max="13580" width="11.5703125" style="1" bestFit="1" customWidth="1"/>
    <col min="13581" max="13824" width="9.140625" style="1"/>
    <col min="13825" max="13825" width="5.42578125" style="1" bestFit="1" customWidth="1"/>
    <col min="13826" max="13826" width="12.5703125" style="1" customWidth="1"/>
    <col min="13827" max="13827" width="13" style="1" customWidth="1"/>
    <col min="13828" max="13828" width="55.28515625" style="1" customWidth="1"/>
    <col min="13829" max="13829" width="11" style="1" customWidth="1"/>
    <col min="13830" max="13831" width="12.28515625" style="1" customWidth="1"/>
    <col min="13832" max="13832" width="14.85546875" style="1" customWidth="1"/>
    <col min="13833" max="13833" width="15.140625" style="1" customWidth="1"/>
    <col min="13834" max="13834" width="9.140625" style="1"/>
    <col min="13835" max="13836" width="11.5703125" style="1" bestFit="1" customWidth="1"/>
    <col min="13837" max="14080" width="9.140625" style="1"/>
    <col min="14081" max="14081" width="5.42578125" style="1" bestFit="1" customWidth="1"/>
    <col min="14082" max="14082" width="12.5703125" style="1" customWidth="1"/>
    <col min="14083" max="14083" width="13" style="1" customWidth="1"/>
    <col min="14084" max="14084" width="55.28515625" style="1" customWidth="1"/>
    <col min="14085" max="14085" width="11" style="1" customWidth="1"/>
    <col min="14086" max="14087" width="12.28515625" style="1" customWidth="1"/>
    <col min="14088" max="14088" width="14.85546875" style="1" customWidth="1"/>
    <col min="14089" max="14089" width="15.140625" style="1" customWidth="1"/>
    <col min="14090" max="14090" width="9.140625" style="1"/>
    <col min="14091" max="14092" width="11.5703125" style="1" bestFit="1" customWidth="1"/>
    <col min="14093" max="14336" width="9.140625" style="1"/>
    <col min="14337" max="14337" width="5.42578125" style="1" bestFit="1" customWidth="1"/>
    <col min="14338" max="14338" width="12.5703125" style="1" customWidth="1"/>
    <col min="14339" max="14339" width="13" style="1" customWidth="1"/>
    <col min="14340" max="14340" width="55.28515625" style="1" customWidth="1"/>
    <col min="14341" max="14341" width="11" style="1" customWidth="1"/>
    <col min="14342" max="14343" width="12.28515625" style="1" customWidth="1"/>
    <col min="14344" max="14344" width="14.85546875" style="1" customWidth="1"/>
    <col min="14345" max="14345" width="15.140625" style="1" customWidth="1"/>
    <col min="14346" max="14346" width="9.140625" style="1"/>
    <col min="14347" max="14348" width="11.5703125" style="1" bestFit="1" customWidth="1"/>
    <col min="14349" max="14592" width="9.140625" style="1"/>
    <col min="14593" max="14593" width="5.42578125" style="1" bestFit="1" customWidth="1"/>
    <col min="14594" max="14594" width="12.5703125" style="1" customWidth="1"/>
    <col min="14595" max="14595" width="13" style="1" customWidth="1"/>
    <col min="14596" max="14596" width="55.28515625" style="1" customWidth="1"/>
    <col min="14597" max="14597" width="11" style="1" customWidth="1"/>
    <col min="14598" max="14599" width="12.28515625" style="1" customWidth="1"/>
    <col min="14600" max="14600" width="14.85546875" style="1" customWidth="1"/>
    <col min="14601" max="14601" width="15.140625" style="1" customWidth="1"/>
    <col min="14602" max="14602" width="9.140625" style="1"/>
    <col min="14603" max="14604" width="11.5703125" style="1" bestFit="1" customWidth="1"/>
    <col min="14605" max="14848" width="9.140625" style="1"/>
    <col min="14849" max="14849" width="5.42578125" style="1" bestFit="1" customWidth="1"/>
    <col min="14850" max="14850" width="12.5703125" style="1" customWidth="1"/>
    <col min="14851" max="14851" width="13" style="1" customWidth="1"/>
    <col min="14852" max="14852" width="55.28515625" style="1" customWidth="1"/>
    <col min="14853" max="14853" width="11" style="1" customWidth="1"/>
    <col min="14854" max="14855" width="12.28515625" style="1" customWidth="1"/>
    <col min="14856" max="14856" width="14.85546875" style="1" customWidth="1"/>
    <col min="14857" max="14857" width="15.140625" style="1" customWidth="1"/>
    <col min="14858" max="14858" width="9.140625" style="1"/>
    <col min="14859" max="14860" width="11.5703125" style="1" bestFit="1" customWidth="1"/>
    <col min="14861" max="15104" width="9.140625" style="1"/>
    <col min="15105" max="15105" width="5.42578125" style="1" bestFit="1" customWidth="1"/>
    <col min="15106" max="15106" width="12.5703125" style="1" customWidth="1"/>
    <col min="15107" max="15107" width="13" style="1" customWidth="1"/>
    <col min="15108" max="15108" width="55.28515625" style="1" customWidth="1"/>
    <col min="15109" max="15109" width="11" style="1" customWidth="1"/>
    <col min="15110" max="15111" width="12.28515625" style="1" customWidth="1"/>
    <col min="15112" max="15112" width="14.85546875" style="1" customWidth="1"/>
    <col min="15113" max="15113" width="15.140625" style="1" customWidth="1"/>
    <col min="15114" max="15114" width="9.140625" style="1"/>
    <col min="15115" max="15116" width="11.5703125" style="1" bestFit="1" customWidth="1"/>
    <col min="15117" max="15360" width="9.140625" style="1"/>
    <col min="15361" max="15361" width="5.42578125" style="1" bestFit="1" customWidth="1"/>
    <col min="15362" max="15362" width="12.5703125" style="1" customWidth="1"/>
    <col min="15363" max="15363" width="13" style="1" customWidth="1"/>
    <col min="15364" max="15364" width="55.28515625" style="1" customWidth="1"/>
    <col min="15365" max="15365" width="11" style="1" customWidth="1"/>
    <col min="15366" max="15367" width="12.28515625" style="1" customWidth="1"/>
    <col min="15368" max="15368" width="14.85546875" style="1" customWidth="1"/>
    <col min="15369" max="15369" width="15.140625" style="1" customWidth="1"/>
    <col min="15370" max="15370" width="9.140625" style="1"/>
    <col min="15371" max="15372" width="11.5703125" style="1" bestFit="1" customWidth="1"/>
    <col min="15373" max="15616" width="9.140625" style="1"/>
    <col min="15617" max="15617" width="5.42578125" style="1" bestFit="1" customWidth="1"/>
    <col min="15618" max="15618" width="12.5703125" style="1" customWidth="1"/>
    <col min="15619" max="15619" width="13" style="1" customWidth="1"/>
    <col min="15620" max="15620" width="55.28515625" style="1" customWidth="1"/>
    <col min="15621" max="15621" width="11" style="1" customWidth="1"/>
    <col min="15622" max="15623" width="12.28515625" style="1" customWidth="1"/>
    <col min="15624" max="15624" width="14.85546875" style="1" customWidth="1"/>
    <col min="15625" max="15625" width="15.140625" style="1" customWidth="1"/>
    <col min="15626" max="15626" width="9.140625" style="1"/>
    <col min="15627" max="15628" width="11.5703125" style="1" bestFit="1" customWidth="1"/>
    <col min="15629" max="15872" width="9.140625" style="1"/>
    <col min="15873" max="15873" width="5.42578125" style="1" bestFit="1" customWidth="1"/>
    <col min="15874" max="15874" width="12.5703125" style="1" customWidth="1"/>
    <col min="15875" max="15875" width="13" style="1" customWidth="1"/>
    <col min="15876" max="15876" width="55.28515625" style="1" customWidth="1"/>
    <col min="15877" max="15877" width="11" style="1" customWidth="1"/>
    <col min="15878" max="15879" width="12.28515625" style="1" customWidth="1"/>
    <col min="15880" max="15880" width="14.85546875" style="1" customWidth="1"/>
    <col min="15881" max="15881" width="15.140625" style="1" customWidth="1"/>
    <col min="15882" max="15882" width="9.140625" style="1"/>
    <col min="15883" max="15884" width="11.5703125" style="1" bestFit="1" customWidth="1"/>
    <col min="15885" max="16128" width="9.140625" style="1"/>
    <col min="16129" max="16129" width="5.42578125" style="1" bestFit="1" customWidth="1"/>
    <col min="16130" max="16130" width="12.5703125" style="1" customWidth="1"/>
    <col min="16131" max="16131" width="13" style="1" customWidth="1"/>
    <col min="16132" max="16132" width="55.28515625" style="1" customWidth="1"/>
    <col min="16133" max="16133" width="11" style="1" customWidth="1"/>
    <col min="16134" max="16135" width="12.28515625" style="1" customWidth="1"/>
    <col min="16136" max="16136" width="14.85546875" style="1" customWidth="1"/>
    <col min="16137" max="16137" width="15.140625" style="1" customWidth="1"/>
    <col min="16138" max="16138" width="9.140625" style="1"/>
    <col min="16139" max="16140" width="11.5703125" style="1" bestFit="1" customWidth="1"/>
    <col min="16141" max="16383" width="9.140625" style="1"/>
    <col min="16384" max="16384" width="8.85546875" style="1" customWidth="1"/>
  </cols>
  <sheetData>
    <row r="1" spans="1:26" ht="26.25" x14ac:dyDescent="0.4">
      <c r="A1" s="86" t="s">
        <v>1</v>
      </c>
      <c r="B1" s="87"/>
      <c r="C1" s="87"/>
      <c r="D1" s="87"/>
      <c r="E1" s="87"/>
      <c r="F1" s="87"/>
      <c r="G1" s="87"/>
      <c r="H1" s="87"/>
      <c r="I1" s="87"/>
      <c r="J1" s="88"/>
    </row>
    <row r="2" spans="1:26" s="7" customFormat="1" ht="19.5" x14ac:dyDescent="0.3">
      <c r="A2" s="2"/>
      <c r="B2" s="3"/>
      <c r="C2" s="3"/>
      <c r="D2" s="4" t="s">
        <v>2</v>
      </c>
      <c r="E2" s="3"/>
      <c r="F2" s="3"/>
      <c r="G2" s="3"/>
      <c r="H2" s="3"/>
      <c r="I2" s="3"/>
      <c r="J2" s="5"/>
      <c r="K2" s="6"/>
      <c r="L2" s="6"/>
      <c r="M2" s="6"/>
      <c r="N2" s="6"/>
      <c r="O2" s="6"/>
      <c r="P2" s="6"/>
      <c r="Q2" s="6"/>
      <c r="R2" s="6"/>
      <c r="S2" s="6"/>
      <c r="T2" s="6"/>
      <c r="U2" s="6"/>
      <c r="V2" s="6"/>
      <c r="W2" s="6"/>
      <c r="X2" s="6"/>
      <c r="Y2" s="6"/>
      <c r="Z2" s="6"/>
    </row>
    <row r="3" spans="1:26" ht="12.75" x14ac:dyDescent="0.2">
      <c r="A3" s="8"/>
      <c r="B3" s="9"/>
      <c r="C3" s="9"/>
      <c r="D3" s="9"/>
      <c r="E3" s="9"/>
      <c r="F3" s="9" t="s">
        <v>3</v>
      </c>
      <c r="G3" s="9"/>
      <c r="H3" s="9"/>
      <c r="I3" s="9"/>
      <c r="J3" s="10"/>
    </row>
    <row r="4" spans="1:26" ht="12.75" x14ac:dyDescent="0.2">
      <c r="A4" s="11" t="s">
        <v>4</v>
      </c>
      <c r="B4" s="12"/>
      <c r="C4" s="12"/>
      <c r="D4" s="12"/>
      <c r="E4" s="12"/>
      <c r="F4" s="12"/>
      <c r="G4" s="12"/>
      <c r="H4" s="89"/>
      <c r="I4" s="89"/>
      <c r="J4" s="14"/>
    </row>
    <row r="5" spans="1:26" ht="12.75" x14ac:dyDescent="0.2">
      <c r="A5" s="11" t="s">
        <v>5</v>
      </c>
      <c r="B5" s="12"/>
      <c r="C5" s="12"/>
      <c r="D5" s="12"/>
      <c r="E5" s="12"/>
      <c r="F5" s="12"/>
      <c r="G5" s="15" t="s">
        <v>642</v>
      </c>
      <c r="H5" s="15"/>
      <c r="I5" s="15"/>
      <c r="J5" s="14"/>
    </row>
    <row r="6" spans="1:26" ht="12.75" x14ac:dyDescent="0.2">
      <c r="A6" s="16" t="s">
        <v>6</v>
      </c>
      <c r="B6" s="17"/>
      <c r="C6" s="17"/>
      <c r="D6" s="17"/>
      <c r="E6" s="17"/>
      <c r="F6" s="18"/>
      <c r="G6" s="13"/>
      <c r="H6" s="13"/>
      <c r="I6" s="13"/>
      <c r="J6" s="14"/>
    </row>
    <row r="7" spans="1:26" ht="12.75" x14ac:dyDescent="0.2">
      <c r="A7" s="16" t="s">
        <v>7</v>
      </c>
      <c r="B7" s="17"/>
      <c r="C7" s="17"/>
      <c r="D7" s="17"/>
      <c r="E7" s="17"/>
      <c r="F7" s="19" t="s">
        <v>8</v>
      </c>
      <c r="G7" s="15" t="s">
        <v>9</v>
      </c>
      <c r="H7" s="19" t="s">
        <v>10</v>
      </c>
      <c r="I7" s="13" t="s">
        <v>11</v>
      </c>
      <c r="J7" s="14"/>
    </row>
    <row r="8" spans="1:26" x14ac:dyDescent="0.25">
      <c r="A8" s="20"/>
      <c r="B8" s="21"/>
      <c r="C8" s="21"/>
      <c r="D8" s="21"/>
      <c r="E8" s="21"/>
      <c r="F8" s="22"/>
      <c r="G8" s="23" t="s">
        <v>0</v>
      </c>
      <c r="H8" s="24">
        <v>0.30909999999999999</v>
      </c>
      <c r="I8" s="25"/>
      <c r="J8" s="26"/>
    </row>
    <row r="9" spans="1:26" ht="24" x14ac:dyDescent="0.2">
      <c r="A9" s="27" t="s">
        <v>12</v>
      </c>
      <c r="B9" s="27" t="s">
        <v>13</v>
      </c>
      <c r="C9" s="27" t="s">
        <v>14</v>
      </c>
      <c r="D9" s="27" t="s">
        <v>15</v>
      </c>
      <c r="E9" s="27" t="s">
        <v>16</v>
      </c>
      <c r="F9" s="28" t="s">
        <v>17</v>
      </c>
      <c r="G9" s="29" t="s">
        <v>18</v>
      </c>
      <c r="H9" s="28" t="s">
        <v>19</v>
      </c>
      <c r="I9" s="28" t="s">
        <v>20</v>
      </c>
      <c r="J9" s="30" t="s">
        <v>21</v>
      </c>
    </row>
    <row r="10" spans="1:26" ht="12.75" x14ac:dyDescent="0.2">
      <c r="A10" s="31">
        <v>1</v>
      </c>
      <c r="B10" s="31"/>
      <c r="C10" s="32"/>
      <c r="D10" s="33" t="s">
        <v>22</v>
      </c>
      <c r="E10" s="33"/>
      <c r="F10" s="33"/>
      <c r="G10" s="33"/>
      <c r="H10" s="33"/>
      <c r="I10" s="33"/>
      <c r="J10" s="33"/>
    </row>
    <row r="11" spans="1:26" ht="72" x14ac:dyDescent="0.2">
      <c r="A11" s="34" t="s">
        <v>23</v>
      </c>
      <c r="B11" s="34" t="s">
        <v>24</v>
      </c>
      <c r="C11" s="35" t="s">
        <v>25</v>
      </c>
      <c r="D11" s="36" t="s">
        <v>26</v>
      </c>
      <c r="E11" s="35" t="s">
        <v>27</v>
      </c>
      <c r="F11" s="37">
        <v>308.95999999999998</v>
      </c>
      <c r="G11" s="38">
        <v>12</v>
      </c>
      <c r="H11" s="39">
        <f t="shared" ref="H11:H17" si="0">F11*(1+$H$8)</f>
        <v>404.45953599999996</v>
      </c>
      <c r="I11" s="39">
        <f>G11*H11</f>
        <v>4853.5144319999999</v>
      </c>
      <c r="J11" s="30"/>
    </row>
    <row r="12" spans="1:26" ht="36" x14ac:dyDescent="0.2">
      <c r="A12" s="34" t="s">
        <v>28</v>
      </c>
      <c r="B12" s="34" t="s">
        <v>24</v>
      </c>
      <c r="C12" s="35" t="s">
        <v>29</v>
      </c>
      <c r="D12" s="36" t="s">
        <v>30</v>
      </c>
      <c r="E12" s="35" t="s">
        <v>27</v>
      </c>
      <c r="F12" s="37">
        <v>553.11</v>
      </c>
      <c r="G12" s="38">
        <v>20</v>
      </c>
      <c r="H12" s="39">
        <f t="shared" si="0"/>
        <v>724.07630099999994</v>
      </c>
      <c r="I12" s="39">
        <f>G12*H12</f>
        <v>14481.526019999999</v>
      </c>
      <c r="J12" s="30"/>
    </row>
    <row r="13" spans="1:26" ht="36" x14ac:dyDescent="0.2">
      <c r="A13" s="34" t="s">
        <v>31</v>
      </c>
      <c r="B13" s="34" t="s">
        <v>24</v>
      </c>
      <c r="C13" s="35" t="s">
        <v>32</v>
      </c>
      <c r="D13" s="36" t="s">
        <v>33</v>
      </c>
      <c r="E13" s="40" t="s">
        <v>34</v>
      </c>
      <c r="F13" s="38">
        <v>800000</v>
      </c>
      <c r="G13" s="38">
        <v>0.3</v>
      </c>
      <c r="H13" s="39">
        <f t="shared" si="0"/>
        <v>1047280</v>
      </c>
      <c r="I13" s="39">
        <f>G13*H13*0.01</f>
        <v>3141.84</v>
      </c>
      <c r="J13" s="30"/>
    </row>
    <row r="14" spans="1:26" ht="36" x14ac:dyDescent="0.2">
      <c r="A14" s="34" t="s">
        <v>35</v>
      </c>
      <c r="B14" s="34" t="s">
        <v>24</v>
      </c>
      <c r="C14" s="35" t="s">
        <v>36</v>
      </c>
      <c r="D14" s="36" t="s">
        <v>37</v>
      </c>
      <c r="E14" s="40" t="s">
        <v>38</v>
      </c>
      <c r="F14" s="38">
        <v>2.08</v>
      </c>
      <c r="G14" s="38">
        <v>344.45</v>
      </c>
      <c r="H14" s="39">
        <f t="shared" si="0"/>
        <v>2.722928</v>
      </c>
      <c r="I14" s="39">
        <f>G14*H14</f>
        <v>937.91254959999992</v>
      </c>
      <c r="J14" s="30" t="s">
        <v>39</v>
      </c>
    </row>
    <row r="15" spans="1:26" ht="48" x14ac:dyDescent="0.2">
      <c r="A15" s="34" t="s">
        <v>40</v>
      </c>
      <c r="B15" s="34" t="s">
        <v>24</v>
      </c>
      <c r="C15" s="35" t="s">
        <v>41</v>
      </c>
      <c r="D15" s="36" t="s">
        <v>42</v>
      </c>
      <c r="E15" s="35" t="s">
        <v>43</v>
      </c>
      <c r="F15" s="37">
        <v>206.9</v>
      </c>
      <c r="G15" s="38">
        <v>10</v>
      </c>
      <c r="H15" s="39">
        <f t="shared" si="0"/>
        <v>270.85278999999997</v>
      </c>
      <c r="I15" s="39">
        <f t="shared" ref="I15:I16" si="1">G15*H15</f>
        <v>2708.5278999999996</v>
      </c>
      <c r="J15" s="30" t="s">
        <v>44</v>
      </c>
    </row>
    <row r="16" spans="1:26" ht="60" x14ac:dyDescent="0.2">
      <c r="A16" s="34" t="s">
        <v>45</v>
      </c>
      <c r="B16" s="34" t="s">
        <v>46</v>
      </c>
      <c r="C16" s="41" t="s">
        <v>47</v>
      </c>
      <c r="D16" s="42" t="s">
        <v>48</v>
      </c>
      <c r="E16" s="40" t="s">
        <v>16</v>
      </c>
      <c r="F16" s="38">
        <v>763.4</v>
      </c>
      <c r="G16" s="38">
        <v>1</v>
      </c>
      <c r="H16" s="39">
        <f t="shared" si="0"/>
        <v>999.36693999999989</v>
      </c>
      <c r="I16" s="39">
        <f t="shared" si="1"/>
        <v>999.36693999999989</v>
      </c>
      <c r="J16" s="30"/>
    </row>
    <row r="17" spans="1:10" ht="60" x14ac:dyDescent="0.2">
      <c r="A17" s="34" t="s">
        <v>49</v>
      </c>
      <c r="B17" s="34" t="s">
        <v>24</v>
      </c>
      <c r="C17" s="35" t="s">
        <v>50</v>
      </c>
      <c r="D17" s="36" t="s">
        <v>51</v>
      </c>
      <c r="E17" s="40" t="s">
        <v>16</v>
      </c>
      <c r="F17" s="37">
        <v>1151.74</v>
      </c>
      <c r="G17" s="38">
        <v>1</v>
      </c>
      <c r="H17" s="39">
        <f t="shared" si="0"/>
        <v>1507.7428339999999</v>
      </c>
      <c r="I17" s="39">
        <f>G17*H17</f>
        <v>1507.7428339999999</v>
      </c>
      <c r="J17" s="30"/>
    </row>
    <row r="18" spans="1:10" ht="12.75" x14ac:dyDescent="0.2">
      <c r="A18" s="43"/>
      <c r="B18" s="43"/>
      <c r="C18" s="44"/>
      <c r="D18" s="45" t="s">
        <v>52</v>
      </c>
      <c r="E18" s="40"/>
      <c r="F18" s="38"/>
      <c r="G18" s="38"/>
      <c r="H18" s="38"/>
      <c r="I18" s="46">
        <f>SUM(I11:I17)</f>
        <v>28630.430675600004</v>
      </c>
      <c r="J18" s="30"/>
    </row>
    <row r="19" spans="1:10" ht="12.75" x14ac:dyDescent="0.2">
      <c r="A19" s="31">
        <v>2</v>
      </c>
      <c r="B19" s="31"/>
      <c r="C19" s="47"/>
      <c r="D19" s="48" t="s">
        <v>53</v>
      </c>
      <c r="E19" s="49"/>
      <c r="F19" s="50"/>
      <c r="G19" s="50"/>
      <c r="H19" s="50"/>
      <c r="I19" s="50"/>
      <c r="J19" s="30"/>
    </row>
    <row r="20" spans="1:10" ht="24" x14ac:dyDescent="0.2">
      <c r="A20" s="51" t="s">
        <v>54</v>
      </c>
      <c r="B20" s="51" t="s">
        <v>24</v>
      </c>
      <c r="C20" s="35" t="s">
        <v>55</v>
      </c>
      <c r="D20" s="36" t="s">
        <v>56</v>
      </c>
      <c r="E20" s="52" t="s">
        <v>57</v>
      </c>
      <c r="F20" s="37">
        <v>1499.78</v>
      </c>
      <c r="G20" s="39">
        <v>4</v>
      </c>
      <c r="H20" s="39">
        <f>F20*(1+$H$8)</f>
        <v>1963.3619979999999</v>
      </c>
      <c r="I20" s="39">
        <f>H20*G20</f>
        <v>7853.4479919999994</v>
      </c>
      <c r="J20" s="30" t="s">
        <v>58</v>
      </c>
    </row>
    <row r="21" spans="1:10" ht="24" x14ac:dyDescent="0.2">
      <c r="A21" s="51" t="s">
        <v>59</v>
      </c>
      <c r="B21" s="51" t="s">
        <v>24</v>
      </c>
      <c r="C21" s="35" t="s">
        <v>60</v>
      </c>
      <c r="D21" s="36" t="s">
        <v>61</v>
      </c>
      <c r="E21" s="35" t="s">
        <v>57</v>
      </c>
      <c r="F21" s="37">
        <v>1499.78</v>
      </c>
      <c r="G21" s="39">
        <v>4</v>
      </c>
      <c r="H21" s="39">
        <f>F21*(1+$H$8)</f>
        <v>1963.3619979999999</v>
      </c>
      <c r="I21" s="39">
        <f>H21*G21</f>
        <v>7853.4479919999994</v>
      </c>
      <c r="J21" s="30" t="s">
        <v>62</v>
      </c>
    </row>
    <row r="22" spans="1:10" ht="24" x14ac:dyDescent="0.2">
      <c r="A22" s="51" t="s">
        <v>63</v>
      </c>
      <c r="B22" s="51" t="s">
        <v>24</v>
      </c>
      <c r="C22" s="35" t="s">
        <v>64</v>
      </c>
      <c r="D22" s="36" t="s">
        <v>65</v>
      </c>
      <c r="E22" s="52" t="s">
        <v>57</v>
      </c>
      <c r="F22" s="37">
        <v>1083.19</v>
      </c>
      <c r="G22" s="39">
        <v>4</v>
      </c>
      <c r="H22" s="39">
        <f>F22*(1+$H$8)</f>
        <v>1418.0040289999999</v>
      </c>
      <c r="I22" s="39">
        <f>H22*G22</f>
        <v>5672.0161159999998</v>
      </c>
      <c r="J22" s="30" t="s">
        <v>58</v>
      </c>
    </row>
    <row r="23" spans="1:10" ht="24" x14ac:dyDescent="0.2">
      <c r="A23" s="51" t="s">
        <v>66</v>
      </c>
      <c r="B23" s="51" t="s">
        <v>24</v>
      </c>
      <c r="C23" s="35" t="s">
        <v>67</v>
      </c>
      <c r="D23" s="36" t="s">
        <v>68</v>
      </c>
      <c r="E23" s="52" t="s">
        <v>57</v>
      </c>
      <c r="F23" s="37">
        <v>1380.42</v>
      </c>
      <c r="G23" s="39">
        <v>4</v>
      </c>
      <c r="H23" s="39">
        <f>F23*(1+$H$8)</f>
        <v>1807.1078219999999</v>
      </c>
      <c r="I23" s="39">
        <f>H23*G23</f>
        <v>7228.4312879999998</v>
      </c>
      <c r="J23" s="30" t="s">
        <v>58</v>
      </c>
    </row>
    <row r="24" spans="1:10" ht="12.75" x14ac:dyDescent="0.2">
      <c r="A24" s="43"/>
      <c r="B24" s="43"/>
      <c r="C24" s="44"/>
      <c r="D24" s="45" t="s">
        <v>52</v>
      </c>
      <c r="E24" s="40"/>
      <c r="F24" s="38"/>
      <c r="G24" s="38"/>
      <c r="H24" s="38"/>
      <c r="I24" s="46">
        <f>SUM(I20:I23)</f>
        <v>28607.343387999998</v>
      </c>
      <c r="J24" s="30"/>
    </row>
    <row r="25" spans="1:10" ht="12.75" x14ac:dyDescent="0.2">
      <c r="A25" s="31">
        <v>3</v>
      </c>
      <c r="B25" s="31"/>
      <c r="C25" s="47"/>
      <c r="D25" s="48" t="s">
        <v>69</v>
      </c>
      <c r="E25" s="49"/>
      <c r="F25" s="50"/>
      <c r="G25" s="50"/>
      <c r="H25" s="50"/>
      <c r="I25" s="50"/>
      <c r="J25" s="30"/>
    </row>
    <row r="26" spans="1:10" ht="48" x14ac:dyDescent="0.2">
      <c r="A26" s="34" t="s">
        <v>70</v>
      </c>
      <c r="B26" s="34" t="s">
        <v>24</v>
      </c>
      <c r="C26" s="35" t="s">
        <v>71</v>
      </c>
      <c r="D26" s="36" t="s">
        <v>72</v>
      </c>
      <c r="E26" s="35" t="s">
        <v>27</v>
      </c>
      <c r="F26" s="37">
        <v>4.88</v>
      </c>
      <c r="G26" s="38">
        <v>108</v>
      </c>
      <c r="H26" s="38">
        <f t="shared" ref="H26:H31" si="2">F26*(1+$H$8)</f>
        <v>6.3884079999999992</v>
      </c>
      <c r="I26" s="38">
        <f>H26*G26</f>
        <v>689.94806399999993</v>
      </c>
      <c r="J26" s="30" t="s">
        <v>73</v>
      </c>
    </row>
    <row r="27" spans="1:10" ht="72" x14ac:dyDescent="0.2">
      <c r="A27" s="34" t="s">
        <v>74</v>
      </c>
      <c r="B27" s="34" t="s">
        <v>24</v>
      </c>
      <c r="C27" s="35" t="s">
        <v>75</v>
      </c>
      <c r="D27" s="36" t="s">
        <v>76</v>
      </c>
      <c r="E27" s="35" t="s">
        <v>77</v>
      </c>
      <c r="F27" s="37">
        <v>256.67</v>
      </c>
      <c r="G27" s="38">
        <f>(108*0.1)+(4*0.8*0.1)</f>
        <v>11.120000000000001</v>
      </c>
      <c r="H27" s="38">
        <f t="shared" si="2"/>
        <v>336.00669700000003</v>
      </c>
      <c r="I27" s="38">
        <f t="shared" ref="I27:I31" si="3">H27*G27</f>
        <v>3736.3944706400007</v>
      </c>
      <c r="J27" s="30" t="s">
        <v>78</v>
      </c>
    </row>
    <row r="28" spans="1:10" ht="36" x14ac:dyDescent="0.2">
      <c r="A28" s="34" t="s">
        <v>79</v>
      </c>
      <c r="B28" s="34" t="s">
        <v>24</v>
      </c>
      <c r="C28" s="35" t="s">
        <v>80</v>
      </c>
      <c r="D28" s="36" t="s">
        <v>81</v>
      </c>
      <c r="E28" s="35" t="s">
        <v>43</v>
      </c>
      <c r="F28" s="37">
        <v>3.13</v>
      </c>
      <c r="G28" s="38">
        <f>(22+7+8)*3</f>
        <v>111</v>
      </c>
      <c r="H28" s="38">
        <f t="shared" si="2"/>
        <v>4.0974829999999995</v>
      </c>
      <c r="I28" s="38">
        <f t="shared" si="3"/>
        <v>454.82061299999992</v>
      </c>
      <c r="J28" s="30" t="s">
        <v>82</v>
      </c>
    </row>
    <row r="29" spans="1:10" ht="36" x14ac:dyDescent="0.2">
      <c r="A29" s="34" t="s">
        <v>83</v>
      </c>
      <c r="B29" s="34" t="s">
        <v>24</v>
      </c>
      <c r="C29" s="35" t="s">
        <v>84</v>
      </c>
      <c r="D29" s="36" t="s">
        <v>85</v>
      </c>
      <c r="E29" s="35" t="s">
        <v>43</v>
      </c>
      <c r="F29" s="37">
        <v>4.88</v>
      </c>
      <c r="G29" s="38">
        <f>5*3</f>
        <v>15</v>
      </c>
      <c r="H29" s="38">
        <f t="shared" si="2"/>
        <v>6.3884079999999992</v>
      </c>
      <c r="I29" s="38">
        <f t="shared" si="3"/>
        <v>95.826119999999989</v>
      </c>
      <c r="J29" s="30" t="s">
        <v>86</v>
      </c>
    </row>
    <row r="30" spans="1:10" ht="48" x14ac:dyDescent="0.2">
      <c r="A30" s="34" t="s">
        <v>87</v>
      </c>
      <c r="B30" s="34" t="s">
        <v>24</v>
      </c>
      <c r="C30" s="35" t="s">
        <v>88</v>
      </c>
      <c r="D30" s="36" t="s">
        <v>89</v>
      </c>
      <c r="E30" s="35" t="s">
        <v>43</v>
      </c>
      <c r="F30" s="37">
        <v>21.07</v>
      </c>
      <c r="G30" s="38">
        <v>12</v>
      </c>
      <c r="H30" s="38">
        <f t="shared" si="2"/>
        <v>27.582736999999998</v>
      </c>
      <c r="I30" s="38">
        <f t="shared" si="3"/>
        <v>330.99284399999999</v>
      </c>
      <c r="J30" s="30" t="s">
        <v>90</v>
      </c>
    </row>
    <row r="31" spans="1:10" ht="24" x14ac:dyDescent="0.2">
      <c r="A31" s="34" t="s">
        <v>91</v>
      </c>
      <c r="B31" s="34" t="s">
        <v>24</v>
      </c>
      <c r="C31" s="35" t="s">
        <v>92</v>
      </c>
      <c r="D31" s="36" t="s">
        <v>93</v>
      </c>
      <c r="E31" s="35" t="s">
        <v>77</v>
      </c>
      <c r="F31" s="37">
        <v>50</v>
      </c>
      <c r="G31" s="38">
        <f>3.24+11.12</f>
        <v>14.36</v>
      </c>
      <c r="H31" s="38">
        <f t="shared" si="2"/>
        <v>65.454999999999998</v>
      </c>
      <c r="I31" s="38">
        <f t="shared" si="3"/>
        <v>939.93379999999991</v>
      </c>
      <c r="J31" s="30" t="s">
        <v>94</v>
      </c>
    </row>
    <row r="32" spans="1:10" ht="12.75" x14ac:dyDescent="0.2">
      <c r="A32" s="43"/>
      <c r="B32" s="43"/>
      <c r="C32" s="44"/>
      <c r="D32" s="45" t="s">
        <v>52</v>
      </c>
      <c r="E32" s="40"/>
      <c r="F32" s="38"/>
      <c r="G32" s="38"/>
      <c r="H32" s="38"/>
      <c r="I32" s="46">
        <f>SUM(I26:I31)</f>
        <v>6247.9159116400006</v>
      </c>
      <c r="J32" s="30"/>
    </row>
    <row r="33" spans="1:10" ht="12.75" x14ac:dyDescent="0.2">
      <c r="A33" s="31">
        <v>4</v>
      </c>
      <c r="B33" s="31"/>
      <c r="C33" s="47"/>
      <c r="D33" s="48" t="s">
        <v>95</v>
      </c>
      <c r="E33" s="49"/>
      <c r="F33" s="50"/>
      <c r="G33" s="50"/>
      <c r="H33" s="50"/>
      <c r="I33" s="50"/>
      <c r="J33" s="30"/>
    </row>
    <row r="34" spans="1:10" ht="72" x14ac:dyDescent="0.2">
      <c r="A34" s="34" t="s">
        <v>96</v>
      </c>
      <c r="B34" s="34" t="s">
        <v>24</v>
      </c>
      <c r="C34" s="35" t="s">
        <v>97</v>
      </c>
      <c r="D34" s="36" t="s">
        <v>98</v>
      </c>
      <c r="E34" s="35" t="s">
        <v>77</v>
      </c>
      <c r="F34" s="37">
        <v>730.29</v>
      </c>
      <c r="G34" s="38">
        <f>(108*0.1)+0.256+1.408</f>
        <v>12.464</v>
      </c>
      <c r="H34" s="38">
        <f>F34*(1+$H$8)</f>
        <v>956.02263899999991</v>
      </c>
      <c r="I34" s="38">
        <f>G34*H34</f>
        <v>11915.866172495998</v>
      </c>
      <c r="J34" s="30" t="s">
        <v>99</v>
      </c>
    </row>
    <row r="35" spans="1:10" ht="24" x14ac:dyDescent="0.2">
      <c r="A35" s="34" t="s">
        <v>100</v>
      </c>
      <c r="B35" s="34" t="s">
        <v>24</v>
      </c>
      <c r="C35" s="35" t="s">
        <v>101</v>
      </c>
      <c r="D35" s="36" t="s">
        <v>102</v>
      </c>
      <c r="E35" s="35" t="s">
        <v>103</v>
      </c>
      <c r="F35" s="37">
        <v>13.33</v>
      </c>
      <c r="G35" s="38">
        <f>108*0.1*100</f>
        <v>1080</v>
      </c>
      <c r="H35" s="38">
        <f>F35*(1+$H$8)</f>
        <v>17.450302999999998</v>
      </c>
      <c r="I35" s="38">
        <f>G35*H35</f>
        <v>18846.327239999999</v>
      </c>
      <c r="J35" s="30" t="s">
        <v>104</v>
      </c>
    </row>
    <row r="36" spans="1:10" s="7" customFormat="1" ht="12.75" x14ac:dyDescent="0.2">
      <c r="A36" s="51"/>
      <c r="B36" s="51"/>
      <c r="C36" s="35"/>
      <c r="D36" s="53" t="s">
        <v>52</v>
      </c>
      <c r="E36" s="52"/>
      <c r="F36" s="39"/>
      <c r="G36" s="39"/>
      <c r="H36" s="39"/>
      <c r="I36" s="54">
        <f>SUM(I34:I35)</f>
        <v>30762.193412495995</v>
      </c>
      <c r="J36" s="30"/>
    </row>
    <row r="37" spans="1:10" s="7" customFormat="1" ht="12.75" x14ac:dyDescent="0.2">
      <c r="A37" s="31">
        <v>5</v>
      </c>
      <c r="B37" s="55"/>
      <c r="C37" s="55"/>
      <c r="D37" s="48" t="s">
        <v>105</v>
      </c>
      <c r="E37" s="49"/>
      <c r="F37" s="50"/>
      <c r="G37" s="50"/>
      <c r="H37" s="50"/>
      <c r="I37" s="50"/>
      <c r="J37" s="30"/>
    </row>
    <row r="38" spans="1:10" ht="36" x14ac:dyDescent="0.2">
      <c r="A38" s="34" t="s">
        <v>106</v>
      </c>
      <c r="B38" s="34" t="s">
        <v>24</v>
      </c>
      <c r="C38" s="35" t="s">
        <v>107</v>
      </c>
      <c r="D38" s="36" t="s">
        <v>108</v>
      </c>
      <c r="E38" s="35" t="s">
        <v>43</v>
      </c>
      <c r="F38" s="37">
        <v>764.73</v>
      </c>
      <c r="G38" s="38">
        <v>6</v>
      </c>
      <c r="H38" s="38">
        <f>F38*(1+$H$8)</f>
        <v>1001.108043</v>
      </c>
      <c r="I38" s="38">
        <f>G38*H38</f>
        <v>6006.6482579999993</v>
      </c>
      <c r="J38" s="30" t="s">
        <v>109</v>
      </c>
    </row>
    <row r="39" spans="1:10" ht="36" x14ac:dyDescent="0.2">
      <c r="A39" s="51" t="s">
        <v>110</v>
      </c>
      <c r="B39" s="34" t="s">
        <v>24</v>
      </c>
      <c r="C39" s="35" t="s">
        <v>111</v>
      </c>
      <c r="D39" s="36" t="s">
        <v>112</v>
      </c>
      <c r="E39" s="35" t="s">
        <v>27</v>
      </c>
      <c r="F39" s="37">
        <v>11.87</v>
      </c>
      <c r="G39" s="38">
        <v>387.43</v>
      </c>
      <c r="H39" s="39">
        <f>F39*(1+$H$8)</f>
        <v>15.539016999999998</v>
      </c>
      <c r="I39" s="39">
        <f t="shared" ref="I39:I42" si="4">G39*H39</f>
        <v>6020.281356309999</v>
      </c>
      <c r="J39" s="30" t="s">
        <v>113</v>
      </c>
    </row>
    <row r="40" spans="1:10" ht="24" x14ac:dyDescent="0.2">
      <c r="A40" s="51" t="s">
        <v>114</v>
      </c>
      <c r="B40" s="34" t="s">
        <v>24</v>
      </c>
      <c r="C40" s="35" t="s">
        <v>115</v>
      </c>
      <c r="D40" s="36" t="s">
        <v>116</v>
      </c>
      <c r="E40" s="35" t="s">
        <v>27</v>
      </c>
      <c r="F40" s="37">
        <v>32.1</v>
      </c>
      <c r="G40" s="38">
        <v>387.43</v>
      </c>
      <c r="H40" s="39">
        <f>F40*(1+$H$8)</f>
        <v>42.022109999999998</v>
      </c>
      <c r="I40" s="39">
        <f t="shared" si="4"/>
        <v>16280.626077299999</v>
      </c>
      <c r="J40" s="30" t="s">
        <v>113</v>
      </c>
    </row>
    <row r="41" spans="1:10" ht="36" x14ac:dyDescent="0.2">
      <c r="A41" s="51" t="s">
        <v>117</v>
      </c>
      <c r="B41" s="34" t="s">
        <v>24</v>
      </c>
      <c r="C41" s="35" t="s">
        <v>118</v>
      </c>
      <c r="D41" s="36" t="s">
        <v>119</v>
      </c>
      <c r="E41" s="35" t="s">
        <v>27</v>
      </c>
      <c r="F41" s="37">
        <v>81.94</v>
      </c>
      <c r="G41" s="38">
        <v>297.66000000000003</v>
      </c>
      <c r="H41" s="39">
        <f>F41*(1+$H$8)</f>
        <v>107.26765399999999</v>
      </c>
      <c r="I41" s="39">
        <f t="shared" si="4"/>
        <v>31929.28988964</v>
      </c>
      <c r="J41" s="30" t="s">
        <v>113</v>
      </c>
    </row>
    <row r="42" spans="1:10" ht="48" x14ac:dyDescent="0.2">
      <c r="A42" s="51" t="s">
        <v>120</v>
      </c>
      <c r="B42" s="34" t="s">
        <v>24</v>
      </c>
      <c r="C42" s="35" t="s">
        <v>121</v>
      </c>
      <c r="D42" s="36" t="s">
        <v>122</v>
      </c>
      <c r="E42" s="35" t="s">
        <v>27</v>
      </c>
      <c r="F42" s="37">
        <v>66.239999999999995</v>
      </c>
      <c r="G42" s="38">
        <v>368.24</v>
      </c>
      <c r="H42" s="39">
        <f>F42*(1+$H$8)</f>
        <v>86.714783999999995</v>
      </c>
      <c r="I42" s="39">
        <f t="shared" si="4"/>
        <v>31931.852060159999</v>
      </c>
      <c r="J42" s="30" t="s">
        <v>113</v>
      </c>
    </row>
    <row r="43" spans="1:10" ht="12.75" x14ac:dyDescent="0.2">
      <c r="A43" s="34"/>
      <c r="B43" s="34"/>
      <c r="C43" s="35"/>
      <c r="D43" s="45" t="s">
        <v>52</v>
      </c>
      <c r="E43" s="40"/>
      <c r="F43" s="38"/>
      <c r="G43" s="38"/>
      <c r="H43" s="38"/>
      <c r="I43" s="46">
        <f>SUM(I38:I42)</f>
        <v>92168.697641409992</v>
      </c>
      <c r="J43" s="30"/>
    </row>
    <row r="44" spans="1:10" ht="12.75" x14ac:dyDescent="0.2">
      <c r="A44" s="31">
        <v>6</v>
      </c>
      <c r="B44" s="55"/>
      <c r="C44" s="56"/>
      <c r="D44" s="57" t="s">
        <v>123</v>
      </c>
      <c r="E44" s="49"/>
      <c r="F44" s="50"/>
      <c r="G44" s="50"/>
      <c r="H44" s="50"/>
      <c r="I44" s="50"/>
      <c r="J44" s="30"/>
    </row>
    <row r="45" spans="1:10" ht="24" x14ac:dyDescent="0.2">
      <c r="A45" s="58" t="s">
        <v>124</v>
      </c>
      <c r="B45" s="34" t="s">
        <v>24</v>
      </c>
      <c r="C45" s="35" t="s">
        <v>125</v>
      </c>
      <c r="D45" s="36" t="s">
        <v>126</v>
      </c>
      <c r="E45" s="35" t="s">
        <v>27</v>
      </c>
      <c r="F45" s="37">
        <v>39.72</v>
      </c>
      <c r="G45" s="59">
        <f>8.8+8.8+3.2</f>
        <v>20.8</v>
      </c>
      <c r="H45" s="60">
        <f t="shared" ref="H45:H58" si="5">F45*(1+$H$8)</f>
        <v>51.997451999999996</v>
      </c>
      <c r="I45" s="39">
        <f t="shared" ref="I45:I56" si="6">G45*H45</f>
        <v>1081.5470015999999</v>
      </c>
      <c r="J45" s="30" t="s">
        <v>127</v>
      </c>
    </row>
    <row r="46" spans="1:10" ht="60" x14ac:dyDescent="0.2">
      <c r="A46" s="58" t="s">
        <v>128</v>
      </c>
      <c r="B46" s="34" t="s">
        <v>24</v>
      </c>
      <c r="C46" s="35" t="s">
        <v>129</v>
      </c>
      <c r="D46" s="36" t="s">
        <v>130</v>
      </c>
      <c r="E46" s="35" t="s">
        <v>27</v>
      </c>
      <c r="F46" s="37">
        <v>141.19</v>
      </c>
      <c r="G46" s="38">
        <f>393.82</f>
        <v>393.82</v>
      </c>
      <c r="H46" s="60">
        <f t="shared" si="5"/>
        <v>184.831829</v>
      </c>
      <c r="I46" s="39">
        <f t="shared" si="6"/>
        <v>72790.470896779996</v>
      </c>
      <c r="J46" s="30" t="s">
        <v>113</v>
      </c>
    </row>
    <row r="47" spans="1:10" ht="36" x14ac:dyDescent="0.2">
      <c r="A47" s="58" t="s">
        <v>131</v>
      </c>
      <c r="B47" s="34" t="s">
        <v>24</v>
      </c>
      <c r="C47" s="35" t="s">
        <v>132</v>
      </c>
      <c r="D47" s="36" t="s">
        <v>133</v>
      </c>
      <c r="E47" s="35" t="s">
        <v>43</v>
      </c>
      <c r="F47" s="37">
        <v>11.63</v>
      </c>
      <c r="G47" s="38">
        <f>345.76</f>
        <v>345.76</v>
      </c>
      <c r="H47" s="60">
        <f t="shared" si="5"/>
        <v>15.224833</v>
      </c>
      <c r="I47" s="39">
        <f t="shared" si="6"/>
        <v>5264.13825808</v>
      </c>
      <c r="J47" s="30" t="s">
        <v>113</v>
      </c>
    </row>
    <row r="48" spans="1:10" ht="24" x14ac:dyDescent="0.2">
      <c r="A48" s="58" t="s">
        <v>134</v>
      </c>
      <c r="B48" s="34" t="s">
        <v>24</v>
      </c>
      <c r="C48" s="35" t="s">
        <v>135</v>
      </c>
      <c r="D48" s="36" t="s">
        <v>136</v>
      </c>
      <c r="E48" s="35" t="s">
        <v>27</v>
      </c>
      <c r="F48" s="37">
        <v>117.15</v>
      </c>
      <c r="G48" s="39">
        <v>65</v>
      </c>
      <c r="H48" s="60">
        <f t="shared" si="5"/>
        <v>153.361065</v>
      </c>
      <c r="I48" s="39">
        <f t="shared" si="6"/>
        <v>9968.4692249999989</v>
      </c>
      <c r="J48" s="30" t="s">
        <v>137</v>
      </c>
    </row>
    <row r="49" spans="1:12" ht="36" x14ac:dyDescent="0.2">
      <c r="A49" s="58" t="s">
        <v>138</v>
      </c>
      <c r="B49" s="34" t="s">
        <v>24</v>
      </c>
      <c r="C49" s="35" t="s">
        <v>139</v>
      </c>
      <c r="D49" s="36" t="s">
        <v>140</v>
      </c>
      <c r="E49" s="35" t="s">
        <v>27</v>
      </c>
      <c r="F49" s="37">
        <v>44.21</v>
      </c>
      <c r="G49" s="39">
        <v>65</v>
      </c>
      <c r="H49" s="60">
        <f t="shared" si="5"/>
        <v>57.875310999999996</v>
      </c>
      <c r="I49" s="39">
        <f t="shared" si="6"/>
        <v>3761.8952149999996</v>
      </c>
      <c r="J49" s="30" t="s">
        <v>137</v>
      </c>
    </row>
    <row r="50" spans="1:12" ht="24" x14ac:dyDescent="0.2">
      <c r="A50" s="58" t="s">
        <v>141</v>
      </c>
      <c r="B50" s="34" t="s">
        <v>24</v>
      </c>
      <c r="C50" s="35" t="s">
        <v>142</v>
      </c>
      <c r="D50" s="36" t="s">
        <v>143</v>
      </c>
      <c r="E50" s="35" t="s">
        <v>43</v>
      </c>
      <c r="F50" s="37">
        <v>17.36</v>
      </c>
      <c r="G50" s="39">
        <v>23</v>
      </c>
      <c r="H50" s="60">
        <f t="shared" si="5"/>
        <v>22.725975999999999</v>
      </c>
      <c r="I50" s="39">
        <f t="shared" si="6"/>
        <v>522.69744800000001</v>
      </c>
      <c r="J50" s="30" t="s">
        <v>137</v>
      </c>
    </row>
    <row r="51" spans="1:12" ht="24" x14ac:dyDescent="0.2">
      <c r="A51" s="58" t="s">
        <v>144</v>
      </c>
      <c r="B51" s="34" t="s">
        <v>145</v>
      </c>
      <c r="C51" s="58" t="s">
        <v>146</v>
      </c>
      <c r="D51" s="61" t="s">
        <v>147</v>
      </c>
      <c r="E51" s="40" t="s">
        <v>38</v>
      </c>
      <c r="F51" s="38">
        <v>135</v>
      </c>
      <c r="G51" s="39">
        <v>230</v>
      </c>
      <c r="H51" s="60">
        <f t="shared" si="5"/>
        <v>176.7285</v>
      </c>
      <c r="I51" s="39">
        <f t="shared" si="6"/>
        <v>40647.555</v>
      </c>
      <c r="J51" s="30" t="s">
        <v>148</v>
      </c>
    </row>
    <row r="52" spans="1:12" ht="36" x14ac:dyDescent="0.2">
      <c r="A52" s="58" t="s">
        <v>149</v>
      </c>
      <c r="B52" s="34" t="s">
        <v>24</v>
      </c>
      <c r="C52" s="35" t="s">
        <v>150</v>
      </c>
      <c r="D52" s="36" t="s">
        <v>151</v>
      </c>
      <c r="E52" s="35" t="s">
        <v>27</v>
      </c>
      <c r="F52" s="37">
        <v>68.53</v>
      </c>
      <c r="G52" s="38">
        <f>167.14-44.64</f>
        <v>122.49999999999999</v>
      </c>
      <c r="H52" s="60">
        <f t="shared" si="5"/>
        <v>89.712622999999994</v>
      </c>
      <c r="I52" s="39">
        <f t="shared" si="6"/>
        <v>10989.796317499999</v>
      </c>
      <c r="J52" s="30" t="s">
        <v>152</v>
      </c>
    </row>
    <row r="53" spans="1:12" ht="48" x14ac:dyDescent="0.2">
      <c r="A53" s="58" t="s">
        <v>153</v>
      </c>
      <c r="B53" s="34" t="s">
        <v>24</v>
      </c>
      <c r="C53" s="35" t="s">
        <v>154</v>
      </c>
      <c r="D53" s="36" t="s">
        <v>155</v>
      </c>
      <c r="E53" s="35" t="s">
        <v>27</v>
      </c>
      <c r="F53" s="37">
        <v>125.69</v>
      </c>
      <c r="G53" s="38">
        <f>39.32+5.32</f>
        <v>44.64</v>
      </c>
      <c r="H53" s="60">
        <f t="shared" si="5"/>
        <v>164.54077899999999</v>
      </c>
      <c r="I53" s="39">
        <f t="shared" si="6"/>
        <v>7345.1003745599992</v>
      </c>
      <c r="J53" s="30" t="s">
        <v>156</v>
      </c>
    </row>
    <row r="54" spans="1:12" ht="12.75" x14ac:dyDescent="0.2">
      <c r="A54" s="58" t="s">
        <v>157</v>
      </c>
      <c r="B54" s="34" t="s">
        <v>24</v>
      </c>
      <c r="C54" s="35" t="s">
        <v>158</v>
      </c>
      <c r="D54" s="36" t="s">
        <v>159</v>
      </c>
      <c r="E54" s="35" t="s">
        <v>27</v>
      </c>
      <c r="F54" s="37">
        <v>237.47</v>
      </c>
      <c r="G54" s="38">
        <f>(5.1*0.25)*5</f>
        <v>6.375</v>
      </c>
      <c r="H54" s="60">
        <f t="shared" si="5"/>
        <v>310.87197699999996</v>
      </c>
      <c r="I54" s="39">
        <f t="shared" si="6"/>
        <v>1981.8088533749997</v>
      </c>
      <c r="J54" s="30" t="s">
        <v>160</v>
      </c>
    </row>
    <row r="55" spans="1:12" ht="24" x14ac:dyDescent="0.2">
      <c r="A55" s="58" t="s">
        <v>161</v>
      </c>
      <c r="B55" s="34" t="s">
        <v>24</v>
      </c>
      <c r="C55" s="35" t="s">
        <v>162</v>
      </c>
      <c r="D55" s="36" t="s">
        <v>163</v>
      </c>
      <c r="E55" s="35" t="s">
        <v>27</v>
      </c>
      <c r="F55" s="37">
        <v>292.42</v>
      </c>
      <c r="G55" s="38">
        <f>5*0.25</f>
        <v>1.25</v>
      </c>
      <c r="H55" s="60">
        <f t="shared" si="5"/>
        <v>382.80702200000002</v>
      </c>
      <c r="I55" s="39">
        <f t="shared" si="6"/>
        <v>478.50877750000001</v>
      </c>
      <c r="J55" s="30" t="s">
        <v>164</v>
      </c>
    </row>
    <row r="56" spans="1:12" ht="48" x14ac:dyDescent="0.2">
      <c r="A56" s="58" t="s">
        <v>165</v>
      </c>
      <c r="B56" s="34" t="s">
        <v>24</v>
      </c>
      <c r="C56" s="35" t="s">
        <v>166</v>
      </c>
      <c r="D56" s="36" t="s">
        <v>167</v>
      </c>
      <c r="E56" s="35" t="s">
        <v>27</v>
      </c>
      <c r="F56" s="37">
        <v>87.69</v>
      </c>
      <c r="G56" s="38">
        <v>258.20999999999998</v>
      </c>
      <c r="H56" s="60">
        <f t="shared" si="5"/>
        <v>114.794979</v>
      </c>
      <c r="I56" s="39">
        <f t="shared" si="6"/>
        <v>29641.211527589996</v>
      </c>
      <c r="J56" s="30" t="s">
        <v>113</v>
      </c>
      <c r="L56" s="1" t="s">
        <v>168</v>
      </c>
    </row>
    <row r="57" spans="1:12" ht="24" x14ac:dyDescent="0.2">
      <c r="A57" s="58" t="s">
        <v>169</v>
      </c>
      <c r="B57" s="34" t="s">
        <v>24</v>
      </c>
      <c r="C57" s="35" t="s">
        <v>170</v>
      </c>
      <c r="D57" s="36" t="s">
        <v>171</v>
      </c>
      <c r="E57" s="35" t="s">
        <v>27</v>
      </c>
      <c r="F57" s="37">
        <v>68.510000000000005</v>
      </c>
      <c r="G57" s="37">
        <f>(1.7*98.32)+(43.12*2)</f>
        <v>253.38399999999996</v>
      </c>
      <c r="H57" s="60">
        <f t="shared" si="5"/>
        <v>89.686441000000002</v>
      </c>
      <c r="I57" s="39">
        <f>G57*H57</f>
        <v>22725.109166343998</v>
      </c>
      <c r="J57" s="30" t="s">
        <v>172</v>
      </c>
    </row>
    <row r="58" spans="1:12" ht="60" x14ac:dyDescent="0.2">
      <c r="A58" s="58" t="s">
        <v>173</v>
      </c>
      <c r="B58" s="34" t="s">
        <v>24</v>
      </c>
      <c r="C58" s="35" t="s">
        <v>174</v>
      </c>
      <c r="D58" s="36" t="s">
        <v>175</v>
      </c>
      <c r="E58" s="35" t="s">
        <v>43</v>
      </c>
      <c r="F58" s="37">
        <v>39.229999999999997</v>
      </c>
      <c r="G58" s="37">
        <v>22.55</v>
      </c>
      <c r="H58" s="60">
        <f t="shared" si="5"/>
        <v>51.355992999999991</v>
      </c>
      <c r="I58" s="39">
        <f>G58*H58</f>
        <v>1158.0776421499997</v>
      </c>
      <c r="J58" s="30" t="s">
        <v>176</v>
      </c>
    </row>
    <row r="59" spans="1:12" ht="12.75" x14ac:dyDescent="0.2">
      <c r="A59" s="51"/>
      <c r="B59" s="34"/>
      <c r="C59" s="35"/>
      <c r="D59" s="53" t="s">
        <v>52</v>
      </c>
      <c r="E59" s="52"/>
      <c r="F59" s="39"/>
      <c r="G59" s="39"/>
      <c r="H59" s="39"/>
      <c r="I59" s="54">
        <f>SUM(I45:I58)</f>
        <v>208356.38570347897</v>
      </c>
      <c r="J59" s="30"/>
    </row>
    <row r="60" spans="1:12" ht="12.75" x14ac:dyDescent="0.2">
      <c r="A60" s="31">
        <v>7</v>
      </c>
      <c r="B60" s="55"/>
      <c r="C60" s="56"/>
      <c r="D60" s="57" t="s">
        <v>177</v>
      </c>
      <c r="E60" s="49"/>
      <c r="F60" s="50"/>
      <c r="G60" s="50"/>
      <c r="H60" s="50"/>
      <c r="I60" s="50"/>
      <c r="J60" s="30"/>
    </row>
    <row r="61" spans="1:12" ht="48" x14ac:dyDescent="0.2">
      <c r="A61" s="58" t="s">
        <v>178</v>
      </c>
      <c r="B61" s="51"/>
      <c r="C61" s="62" t="s">
        <v>179</v>
      </c>
      <c r="D61" s="63" t="s">
        <v>180</v>
      </c>
      <c r="E61" s="62" t="s">
        <v>77</v>
      </c>
      <c r="F61" s="64">
        <v>79.94</v>
      </c>
      <c r="G61" s="39">
        <f>15.04*0.6</f>
        <v>9.0239999999999991</v>
      </c>
      <c r="H61" s="60">
        <f>F61*(1+$H$8)</f>
        <v>104.64945399999999</v>
      </c>
      <c r="I61" s="39">
        <f t="shared" ref="I61:I64" si="7">G61*H61</f>
        <v>944.35667289599985</v>
      </c>
      <c r="J61" s="30" t="s">
        <v>181</v>
      </c>
    </row>
    <row r="62" spans="1:12" ht="24" x14ac:dyDescent="0.2">
      <c r="A62" s="58" t="s">
        <v>182</v>
      </c>
      <c r="B62" s="51"/>
      <c r="C62" s="35" t="s">
        <v>183</v>
      </c>
      <c r="D62" s="36" t="s">
        <v>184</v>
      </c>
      <c r="E62" s="35" t="s">
        <v>77</v>
      </c>
      <c r="F62" s="37">
        <v>60.61</v>
      </c>
      <c r="G62" s="39">
        <f>15.04*0.6</f>
        <v>9.0239999999999991</v>
      </c>
      <c r="H62" s="60">
        <f>F62*(1+$H$8)</f>
        <v>79.344550999999996</v>
      </c>
      <c r="I62" s="39">
        <f t="shared" si="7"/>
        <v>716.00522822399989</v>
      </c>
      <c r="J62" s="30" t="s">
        <v>185</v>
      </c>
    </row>
    <row r="63" spans="1:12" ht="36" x14ac:dyDescent="0.2">
      <c r="A63" s="58" t="s">
        <v>186</v>
      </c>
      <c r="B63" s="34"/>
      <c r="C63" s="35" t="s">
        <v>187</v>
      </c>
      <c r="D63" s="36" t="s">
        <v>188</v>
      </c>
      <c r="E63" s="35" t="s">
        <v>27</v>
      </c>
      <c r="F63" s="37">
        <v>63.52</v>
      </c>
      <c r="G63" s="38">
        <v>88.99</v>
      </c>
      <c r="H63" s="60">
        <f>F63*(1+$H$8)</f>
        <v>83.154032000000001</v>
      </c>
      <c r="I63" s="39">
        <f t="shared" si="7"/>
        <v>7399.8773076799998</v>
      </c>
      <c r="J63" s="65" t="s">
        <v>189</v>
      </c>
    </row>
    <row r="64" spans="1:12" ht="36" x14ac:dyDescent="0.2">
      <c r="A64" s="58" t="s">
        <v>190</v>
      </c>
      <c r="B64" s="34"/>
      <c r="C64" s="35" t="s">
        <v>191</v>
      </c>
      <c r="D64" s="36" t="s">
        <v>192</v>
      </c>
      <c r="E64" s="35" t="s">
        <v>27</v>
      </c>
      <c r="F64" s="37">
        <v>36.71</v>
      </c>
      <c r="G64" s="38">
        <v>88.99</v>
      </c>
      <c r="H64" s="60">
        <f>F64*(1+$H$8)</f>
        <v>48.057060999999997</v>
      </c>
      <c r="I64" s="39">
        <f t="shared" si="7"/>
        <v>4276.5978583899996</v>
      </c>
      <c r="J64" s="65" t="s">
        <v>193</v>
      </c>
    </row>
    <row r="65" spans="1:10" ht="12.75" x14ac:dyDescent="0.2">
      <c r="A65" s="58"/>
      <c r="B65" s="34"/>
      <c r="C65" s="35"/>
      <c r="D65" s="53" t="s">
        <v>52</v>
      </c>
      <c r="E65" s="52"/>
      <c r="F65" s="39"/>
      <c r="G65" s="39"/>
      <c r="H65" s="39"/>
      <c r="I65" s="54">
        <f>SUM(I61:I64)</f>
        <v>13336.837067189999</v>
      </c>
      <c r="J65" s="30"/>
    </row>
    <row r="66" spans="1:10" ht="12.75" x14ac:dyDescent="0.2">
      <c r="A66" s="31">
        <v>8</v>
      </c>
      <c r="B66" s="55"/>
      <c r="C66" s="56"/>
      <c r="D66" s="57" t="s">
        <v>194</v>
      </c>
      <c r="E66" s="49"/>
      <c r="F66" s="50"/>
      <c r="G66" s="50"/>
      <c r="H66" s="50"/>
      <c r="I66" s="50"/>
      <c r="J66" s="30"/>
    </row>
    <row r="67" spans="1:10" ht="36" x14ac:dyDescent="0.2">
      <c r="A67" s="34" t="s">
        <v>195</v>
      </c>
      <c r="B67" s="34" t="s">
        <v>24</v>
      </c>
      <c r="C67" s="35" t="s">
        <v>196</v>
      </c>
      <c r="D67" s="36" t="s">
        <v>197</v>
      </c>
      <c r="E67" s="35" t="s">
        <v>43</v>
      </c>
      <c r="F67" s="37">
        <v>41.92</v>
      </c>
      <c r="G67" s="38">
        <f>6.5+1+17.2+9.7+4.65+28.77+18.05+13.77+1+16.2+5.5+9.5</f>
        <v>131.83999999999997</v>
      </c>
      <c r="H67" s="60">
        <f>F67*(1+$H$8)</f>
        <v>54.877471999999997</v>
      </c>
      <c r="I67" s="39">
        <f>G67*H67</f>
        <v>7235.0459084799986</v>
      </c>
      <c r="J67" s="30" t="s">
        <v>198</v>
      </c>
    </row>
    <row r="68" spans="1:10" ht="36" x14ac:dyDescent="0.2">
      <c r="A68" s="34" t="s">
        <v>199</v>
      </c>
      <c r="B68" s="34" t="s">
        <v>24</v>
      </c>
      <c r="C68" s="35" t="s">
        <v>200</v>
      </c>
      <c r="D68" s="36" t="s">
        <v>201</v>
      </c>
      <c r="E68" s="35" t="s">
        <v>43</v>
      </c>
      <c r="F68" s="37">
        <v>59.44</v>
      </c>
      <c r="G68" s="38">
        <f>6.5+1+17.2+9.7+4.65+28.77+18.05+13.77+1+16.2+5.5+9.5</f>
        <v>131.83999999999997</v>
      </c>
      <c r="H68" s="60">
        <f>F68*(1+$H$8)</f>
        <v>77.812903999999989</v>
      </c>
      <c r="I68" s="39">
        <f>G68*H68</f>
        <v>10258.853263359997</v>
      </c>
      <c r="J68" s="30" t="s">
        <v>198</v>
      </c>
    </row>
    <row r="69" spans="1:10" ht="36" x14ac:dyDescent="0.2">
      <c r="A69" s="34" t="s">
        <v>202</v>
      </c>
      <c r="B69" s="34" t="s">
        <v>24</v>
      </c>
      <c r="C69" s="35" t="s">
        <v>203</v>
      </c>
      <c r="D69" s="36" t="s">
        <v>204</v>
      </c>
      <c r="E69" s="35" t="s">
        <v>43</v>
      </c>
      <c r="F69" s="37">
        <v>94.75</v>
      </c>
      <c r="G69" s="38">
        <f>112+48+54</f>
        <v>214</v>
      </c>
      <c r="H69" s="60">
        <f>F69*(1+$H$8)</f>
        <v>124.03722499999999</v>
      </c>
      <c r="I69" s="39">
        <f>G69*H69</f>
        <v>26543.966149999997</v>
      </c>
      <c r="J69" s="30" t="s">
        <v>205</v>
      </c>
    </row>
    <row r="70" spans="1:10" ht="60" x14ac:dyDescent="0.2">
      <c r="A70" s="34" t="s">
        <v>206</v>
      </c>
      <c r="B70" s="34" t="s">
        <v>24</v>
      </c>
      <c r="C70" s="35" t="s">
        <v>207</v>
      </c>
      <c r="D70" s="36" t="s">
        <v>208</v>
      </c>
      <c r="E70" s="40" t="s">
        <v>16</v>
      </c>
      <c r="F70" s="37">
        <v>266.24</v>
      </c>
      <c r="G70" s="38">
        <v>5</v>
      </c>
      <c r="H70" s="60">
        <f>F70*(1+$H$8)</f>
        <v>348.534784</v>
      </c>
      <c r="I70" s="39">
        <f>G70*H70</f>
        <v>1742.67392</v>
      </c>
      <c r="J70" s="30" t="s">
        <v>209</v>
      </c>
    </row>
    <row r="71" spans="1:10" ht="12.75" x14ac:dyDescent="0.2">
      <c r="A71" s="58"/>
      <c r="B71" s="34"/>
      <c r="C71" s="35"/>
      <c r="D71" s="53" t="s">
        <v>52</v>
      </c>
      <c r="E71" s="52"/>
      <c r="F71" s="39"/>
      <c r="G71" s="39"/>
      <c r="H71" s="39"/>
      <c r="I71" s="54">
        <f>SUM(I67:I70)</f>
        <v>45780.539241839993</v>
      </c>
      <c r="J71" s="30"/>
    </row>
    <row r="72" spans="1:10" ht="12.75" x14ac:dyDescent="0.2">
      <c r="A72" s="31">
        <v>9</v>
      </c>
      <c r="B72" s="55"/>
      <c r="C72" s="47"/>
      <c r="D72" s="48" t="s">
        <v>210</v>
      </c>
      <c r="E72" s="49"/>
      <c r="F72" s="50"/>
      <c r="G72" s="50"/>
      <c r="H72" s="50"/>
      <c r="I72" s="50"/>
      <c r="J72" s="30"/>
    </row>
    <row r="73" spans="1:10" ht="36" x14ac:dyDescent="0.2">
      <c r="A73" s="34" t="s">
        <v>211</v>
      </c>
      <c r="B73" s="34" t="s">
        <v>24</v>
      </c>
      <c r="C73" s="35" t="s">
        <v>212</v>
      </c>
      <c r="D73" s="36" t="s">
        <v>213</v>
      </c>
      <c r="E73" s="35" t="s">
        <v>27</v>
      </c>
      <c r="F73" s="37">
        <v>5.74</v>
      </c>
      <c r="G73" s="39">
        <f>559.43+1147.24</f>
        <v>1706.67</v>
      </c>
      <c r="H73" s="60">
        <f t="shared" ref="H73:H81" si="8">F73*(1+$H$8)</f>
        <v>7.5142340000000001</v>
      </c>
      <c r="I73" s="39">
        <f>G73*H73</f>
        <v>12824.317740780001</v>
      </c>
      <c r="J73" s="30" t="s">
        <v>214</v>
      </c>
    </row>
    <row r="74" spans="1:10" ht="36" x14ac:dyDescent="0.2">
      <c r="A74" s="34" t="s">
        <v>215</v>
      </c>
      <c r="B74" s="34" t="s">
        <v>24</v>
      </c>
      <c r="C74" s="35" t="s">
        <v>216</v>
      </c>
      <c r="D74" s="36" t="s">
        <v>217</v>
      </c>
      <c r="E74" s="35" t="s">
        <v>27</v>
      </c>
      <c r="F74" s="37">
        <v>7.3</v>
      </c>
      <c r="G74" s="39">
        <v>679.52</v>
      </c>
      <c r="H74" s="60">
        <f t="shared" si="8"/>
        <v>9.5564299999999989</v>
      </c>
      <c r="I74" s="39">
        <f t="shared" ref="I74:I78" si="9">G74*H74</f>
        <v>6493.7853135999994</v>
      </c>
      <c r="J74" s="30" t="s">
        <v>113</v>
      </c>
    </row>
    <row r="75" spans="1:10" ht="24" x14ac:dyDescent="0.2">
      <c r="A75" s="34" t="s">
        <v>218</v>
      </c>
      <c r="B75" s="34" t="s">
        <v>24</v>
      </c>
      <c r="C75" s="35" t="s">
        <v>219</v>
      </c>
      <c r="D75" s="36" t="s">
        <v>220</v>
      </c>
      <c r="E75" s="35" t="s">
        <v>27</v>
      </c>
      <c r="F75" s="37">
        <v>15.72</v>
      </c>
      <c r="G75" s="39">
        <v>559.42999999999995</v>
      </c>
      <c r="H75" s="60">
        <f t="shared" si="8"/>
        <v>20.579052000000001</v>
      </c>
      <c r="I75" s="39">
        <f t="shared" si="9"/>
        <v>11512.539060359999</v>
      </c>
      <c r="J75" s="30" t="s">
        <v>113</v>
      </c>
    </row>
    <row r="76" spans="1:10" ht="24" x14ac:dyDescent="0.2">
      <c r="A76" s="34" t="s">
        <v>221</v>
      </c>
      <c r="B76" s="34" t="s">
        <v>24</v>
      </c>
      <c r="C76" s="35" t="s">
        <v>222</v>
      </c>
      <c r="D76" s="36" t="s">
        <v>223</v>
      </c>
      <c r="E76" s="35" t="s">
        <v>27</v>
      </c>
      <c r="F76" s="37">
        <v>14.18</v>
      </c>
      <c r="G76" s="39">
        <v>679.52</v>
      </c>
      <c r="H76" s="60">
        <f t="shared" si="8"/>
        <v>18.563037999999999</v>
      </c>
      <c r="I76" s="39">
        <f t="shared" si="9"/>
        <v>12613.955581759999</v>
      </c>
      <c r="J76" s="30" t="s">
        <v>113</v>
      </c>
    </row>
    <row r="77" spans="1:10" ht="36" x14ac:dyDescent="0.2">
      <c r="A77" s="34" t="s">
        <v>224</v>
      </c>
      <c r="B77" s="34" t="s">
        <v>24</v>
      </c>
      <c r="C77" s="35" t="s">
        <v>225</v>
      </c>
      <c r="D77" s="36" t="s">
        <v>226</v>
      </c>
      <c r="E77" s="35" t="s">
        <v>27</v>
      </c>
      <c r="F77" s="37">
        <v>15.58</v>
      </c>
      <c r="G77" s="39">
        <v>1333.32</v>
      </c>
      <c r="H77" s="60">
        <f t="shared" si="8"/>
        <v>20.395778</v>
      </c>
      <c r="I77" s="39">
        <f t="shared" si="9"/>
        <v>27194.09872296</v>
      </c>
      <c r="J77" s="30" t="s">
        <v>113</v>
      </c>
    </row>
    <row r="78" spans="1:10" ht="24" x14ac:dyDescent="0.2">
      <c r="A78" s="34" t="s">
        <v>227</v>
      </c>
      <c r="B78" s="34" t="s">
        <v>24</v>
      </c>
      <c r="C78" s="35" t="s">
        <v>228</v>
      </c>
      <c r="D78" s="36" t="s">
        <v>229</v>
      </c>
      <c r="E78" s="35" t="s">
        <v>27</v>
      </c>
      <c r="F78" s="37">
        <v>17.78</v>
      </c>
      <c r="G78" s="39">
        <v>679.52</v>
      </c>
      <c r="H78" s="60">
        <f t="shared" si="8"/>
        <v>23.275798000000002</v>
      </c>
      <c r="I78" s="39">
        <f t="shared" si="9"/>
        <v>15816.370256960001</v>
      </c>
      <c r="J78" s="30" t="s">
        <v>113</v>
      </c>
    </row>
    <row r="79" spans="1:10" ht="24" x14ac:dyDescent="0.2">
      <c r="A79" s="34" t="s">
        <v>230</v>
      </c>
      <c r="B79" s="34" t="s">
        <v>24</v>
      </c>
      <c r="C79" s="35" t="s">
        <v>231</v>
      </c>
      <c r="D79" s="36" t="s">
        <v>232</v>
      </c>
      <c r="E79" s="35" t="s">
        <v>27</v>
      </c>
      <c r="F79" s="37">
        <v>14.14</v>
      </c>
      <c r="G79" s="39">
        <v>1147.24</v>
      </c>
      <c r="H79" s="60">
        <f t="shared" si="8"/>
        <v>18.510673999999998</v>
      </c>
      <c r="I79" s="39">
        <f>G79*H79</f>
        <v>21236.185639759999</v>
      </c>
      <c r="J79" s="30" t="s">
        <v>233</v>
      </c>
    </row>
    <row r="80" spans="1:10" ht="24" x14ac:dyDescent="0.2">
      <c r="A80" s="34" t="s">
        <v>234</v>
      </c>
      <c r="B80" s="34" t="s">
        <v>24</v>
      </c>
      <c r="C80" s="35" t="s">
        <v>235</v>
      </c>
      <c r="D80" s="36" t="s">
        <v>236</v>
      </c>
      <c r="E80" s="35" t="s">
        <v>27</v>
      </c>
      <c r="F80" s="37">
        <v>27.85</v>
      </c>
      <c r="G80" s="66">
        <v>48.7</v>
      </c>
      <c r="H80" s="60">
        <f t="shared" si="8"/>
        <v>36.458435000000001</v>
      </c>
      <c r="I80" s="39">
        <f t="shared" ref="I80:I81" si="10">G80*H80</f>
        <v>1775.5257845000001</v>
      </c>
      <c r="J80" s="30" t="s">
        <v>113</v>
      </c>
    </row>
    <row r="81" spans="1:11" ht="36" x14ac:dyDescent="0.2">
      <c r="A81" s="34" t="s">
        <v>237</v>
      </c>
      <c r="B81" s="34" t="s">
        <v>24</v>
      </c>
      <c r="C81" s="35" t="s">
        <v>238</v>
      </c>
      <c r="D81" s="36" t="s">
        <v>239</v>
      </c>
      <c r="E81" s="35" t="s">
        <v>27</v>
      </c>
      <c r="F81" s="37">
        <v>31.93</v>
      </c>
      <c r="G81" s="60">
        <v>39.96</v>
      </c>
      <c r="H81" s="60">
        <f t="shared" si="8"/>
        <v>41.799562999999999</v>
      </c>
      <c r="I81" s="39">
        <f t="shared" si="10"/>
        <v>1670.31053748</v>
      </c>
      <c r="J81" s="30" t="s">
        <v>113</v>
      </c>
    </row>
    <row r="82" spans="1:11" ht="12.75" x14ac:dyDescent="0.2">
      <c r="A82" s="58"/>
      <c r="B82" s="34"/>
      <c r="C82" s="35"/>
      <c r="D82" s="53" t="s">
        <v>52</v>
      </c>
      <c r="E82" s="52"/>
      <c r="F82" s="39"/>
      <c r="G82" s="39"/>
      <c r="H82" s="39"/>
      <c r="I82" s="54">
        <f>SUM(I73:I81)</f>
        <v>111137.08863816001</v>
      </c>
      <c r="J82" s="30"/>
    </row>
    <row r="83" spans="1:11" ht="12.75" x14ac:dyDescent="0.2">
      <c r="A83" s="31">
        <v>10</v>
      </c>
      <c r="B83" s="55"/>
      <c r="C83" s="47"/>
      <c r="D83" s="48" t="s">
        <v>240</v>
      </c>
      <c r="E83" s="49"/>
      <c r="F83" s="50"/>
      <c r="G83" s="50"/>
      <c r="H83" s="50"/>
      <c r="I83" s="50"/>
      <c r="J83" s="30"/>
    </row>
    <row r="84" spans="1:11" ht="36" x14ac:dyDescent="0.2">
      <c r="A84" s="34" t="s">
        <v>241</v>
      </c>
      <c r="B84" s="34" t="s">
        <v>24</v>
      </c>
      <c r="C84" s="35" t="s">
        <v>242</v>
      </c>
      <c r="D84" s="36" t="s">
        <v>243</v>
      </c>
      <c r="E84" s="40" t="s">
        <v>16</v>
      </c>
      <c r="F84" s="37">
        <v>849.38</v>
      </c>
      <c r="G84" s="60">
        <v>7</v>
      </c>
      <c r="H84" s="60">
        <f t="shared" ref="H84:H91" si="11">F84*(1+$H$8)</f>
        <v>1111.923358</v>
      </c>
      <c r="I84" s="39">
        <f t="shared" ref="I84:I91" si="12">G84*H84</f>
        <v>7783.4635060000001</v>
      </c>
      <c r="J84" s="30" t="s">
        <v>113</v>
      </c>
    </row>
    <row r="85" spans="1:11" ht="36" x14ac:dyDescent="0.2">
      <c r="A85" s="34" t="s">
        <v>244</v>
      </c>
      <c r="B85" s="34" t="s">
        <v>24</v>
      </c>
      <c r="C85" s="35" t="s">
        <v>245</v>
      </c>
      <c r="D85" s="36" t="s">
        <v>246</v>
      </c>
      <c r="E85" s="40" t="s">
        <v>16</v>
      </c>
      <c r="F85" s="37">
        <v>939.76</v>
      </c>
      <c r="G85" s="67">
        <v>6</v>
      </c>
      <c r="H85" s="60">
        <f t="shared" si="11"/>
        <v>1230.239816</v>
      </c>
      <c r="I85" s="39">
        <f t="shared" si="12"/>
        <v>7381.4388959999997</v>
      </c>
      <c r="J85" s="30" t="s">
        <v>113</v>
      </c>
    </row>
    <row r="86" spans="1:11" ht="36" x14ac:dyDescent="0.2">
      <c r="A86" s="34" t="s">
        <v>247</v>
      </c>
      <c r="B86" s="34" t="s">
        <v>24</v>
      </c>
      <c r="C86" s="35" t="s">
        <v>248</v>
      </c>
      <c r="D86" s="36" t="s">
        <v>249</v>
      </c>
      <c r="E86" s="40" t="s">
        <v>16</v>
      </c>
      <c r="F86" s="37">
        <v>781.67</v>
      </c>
      <c r="G86" s="67">
        <v>2</v>
      </c>
      <c r="H86" s="60">
        <f t="shared" si="11"/>
        <v>1023.2841969999998</v>
      </c>
      <c r="I86" s="39">
        <f t="shared" si="12"/>
        <v>2046.5683939999997</v>
      </c>
      <c r="J86" s="30" t="s">
        <v>250</v>
      </c>
    </row>
    <row r="87" spans="1:11" ht="60" x14ac:dyDescent="0.2">
      <c r="A87" s="34" t="s">
        <v>251</v>
      </c>
      <c r="B87" s="34" t="s">
        <v>24</v>
      </c>
      <c r="C87" s="35" t="s">
        <v>252</v>
      </c>
      <c r="D87" s="68" t="s">
        <v>253</v>
      </c>
      <c r="E87" s="35" t="s">
        <v>27</v>
      </c>
      <c r="F87" s="37">
        <v>382.73</v>
      </c>
      <c r="G87" s="60">
        <f>7.56+8.4</f>
        <v>15.96</v>
      </c>
      <c r="H87" s="60">
        <f t="shared" si="11"/>
        <v>501.03184299999998</v>
      </c>
      <c r="I87" s="39">
        <f t="shared" si="12"/>
        <v>7996.4682142800002</v>
      </c>
      <c r="J87" s="30" t="s">
        <v>254</v>
      </c>
    </row>
    <row r="88" spans="1:11" ht="60" x14ac:dyDescent="0.2">
      <c r="A88" s="34" t="s">
        <v>255</v>
      </c>
      <c r="B88" s="34" t="s">
        <v>24</v>
      </c>
      <c r="C88" s="35" t="s">
        <v>256</v>
      </c>
      <c r="D88" s="36" t="s">
        <v>257</v>
      </c>
      <c r="E88" s="35" t="s">
        <v>27</v>
      </c>
      <c r="F88" s="37">
        <v>375.15</v>
      </c>
      <c r="G88" s="60">
        <v>12</v>
      </c>
      <c r="H88" s="60">
        <f t="shared" si="11"/>
        <v>491.10886499999992</v>
      </c>
      <c r="I88" s="39">
        <f t="shared" si="12"/>
        <v>5893.3063799999991</v>
      </c>
      <c r="J88" s="30" t="s">
        <v>258</v>
      </c>
    </row>
    <row r="89" spans="1:11" ht="36" x14ac:dyDescent="0.2">
      <c r="A89" s="34" t="s">
        <v>259</v>
      </c>
      <c r="B89" s="34" t="s">
        <v>24</v>
      </c>
      <c r="C89" s="35" t="s">
        <v>260</v>
      </c>
      <c r="D89" s="36" t="s">
        <v>261</v>
      </c>
      <c r="E89" s="40" t="s">
        <v>16</v>
      </c>
      <c r="F89" s="37">
        <v>420.38</v>
      </c>
      <c r="G89" s="60">
        <v>6</v>
      </c>
      <c r="H89" s="60">
        <f t="shared" si="11"/>
        <v>550.31945799999994</v>
      </c>
      <c r="I89" s="39">
        <f t="shared" si="12"/>
        <v>3301.9167479999996</v>
      </c>
      <c r="J89" s="30" t="s">
        <v>262</v>
      </c>
    </row>
    <row r="90" spans="1:11" ht="36" x14ac:dyDescent="0.2">
      <c r="A90" s="34" t="s">
        <v>263</v>
      </c>
      <c r="B90" s="34" t="s">
        <v>24</v>
      </c>
      <c r="C90" s="35" t="s">
        <v>264</v>
      </c>
      <c r="D90" s="36" t="s">
        <v>265</v>
      </c>
      <c r="E90" s="40" t="s">
        <v>16</v>
      </c>
      <c r="F90" s="37">
        <v>407.88</v>
      </c>
      <c r="G90" s="60">
        <v>4</v>
      </c>
      <c r="H90" s="60">
        <f t="shared" si="11"/>
        <v>533.95570799999996</v>
      </c>
      <c r="I90" s="39">
        <f t="shared" si="12"/>
        <v>2135.8228319999998</v>
      </c>
      <c r="J90" s="30" t="s">
        <v>266</v>
      </c>
    </row>
    <row r="91" spans="1:11" ht="48" x14ac:dyDescent="0.2">
      <c r="A91" s="34" t="s">
        <v>267</v>
      </c>
      <c r="B91" s="34" t="s">
        <v>24</v>
      </c>
      <c r="C91" s="35" t="s">
        <v>268</v>
      </c>
      <c r="D91" s="68" t="s">
        <v>269</v>
      </c>
      <c r="E91" s="35" t="s">
        <v>27</v>
      </c>
      <c r="F91" s="37">
        <v>230.51</v>
      </c>
      <c r="G91" s="60">
        <v>48.9</v>
      </c>
      <c r="H91" s="60">
        <f t="shared" si="11"/>
        <v>301.76064099999996</v>
      </c>
      <c r="I91" s="39">
        <f t="shared" si="12"/>
        <v>14756.095344899997</v>
      </c>
      <c r="J91" s="30" t="s">
        <v>113</v>
      </c>
    </row>
    <row r="92" spans="1:11" ht="12.75" x14ac:dyDescent="0.2">
      <c r="A92" s="58"/>
      <c r="B92" s="34"/>
      <c r="C92" s="35"/>
      <c r="D92" s="53" t="s">
        <v>52</v>
      </c>
      <c r="E92" s="52"/>
      <c r="F92" s="39"/>
      <c r="G92" s="39"/>
      <c r="H92" s="39"/>
      <c r="I92" s="54">
        <f>SUM(I84:I91)</f>
        <v>51295.080315179992</v>
      </c>
      <c r="J92" s="30"/>
    </row>
    <row r="93" spans="1:11" ht="12.75" x14ac:dyDescent="0.2">
      <c r="A93" s="31">
        <v>11</v>
      </c>
      <c r="B93" s="55"/>
      <c r="C93" s="47"/>
      <c r="D93" s="48" t="s">
        <v>270</v>
      </c>
      <c r="E93" s="49"/>
      <c r="F93" s="50"/>
      <c r="G93" s="50"/>
      <c r="H93" s="50"/>
      <c r="I93" s="50"/>
      <c r="J93" s="30"/>
    </row>
    <row r="94" spans="1:11" ht="24" x14ac:dyDescent="0.2">
      <c r="A94" s="34" t="s">
        <v>271</v>
      </c>
      <c r="B94" s="34" t="s">
        <v>24</v>
      </c>
      <c r="C94" s="35" t="s">
        <v>272</v>
      </c>
      <c r="D94" s="36" t="s">
        <v>273</v>
      </c>
      <c r="E94" s="35" t="s">
        <v>27</v>
      </c>
      <c r="F94" s="37">
        <v>629.32000000000005</v>
      </c>
      <c r="G94" s="60">
        <f>(1.2*1.8)*12</f>
        <v>25.92</v>
      </c>
      <c r="H94" s="60">
        <f>F94*(1+$H$8)</f>
        <v>823.84281199999998</v>
      </c>
      <c r="I94" s="39">
        <f>G94*H94</f>
        <v>21354.00568704</v>
      </c>
      <c r="J94" s="30" t="s">
        <v>274</v>
      </c>
    </row>
    <row r="95" spans="1:11" ht="36" x14ac:dyDescent="0.2">
      <c r="A95" s="34" t="s">
        <v>275</v>
      </c>
      <c r="B95" s="34" t="s">
        <v>24</v>
      </c>
      <c r="C95" s="35" t="s">
        <v>276</v>
      </c>
      <c r="D95" s="36" t="s">
        <v>277</v>
      </c>
      <c r="E95" s="35" t="s">
        <v>27</v>
      </c>
      <c r="F95" s="37">
        <v>354.83</v>
      </c>
      <c r="G95" s="60">
        <f>1.92+0.9+1.2+0.72</f>
        <v>4.7399999999999993</v>
      </c>
      <c r="H95" s="60">
        <f>F95*(1+$H$8)</f>
        <v>464.50795299999993</v>
      </c>
      <c r="I95" s="39">
        <f>G95*H95</f>
        <v>2201.7676972199993</v>
      </c>
      <c r="J95" s="30" t="s">
        <v>278</v>
      </c>
      <c r="K95" s="69"/>
    </row>
    <row r="96" spans="1:11" ht="48" x14ac:dyDescent="0.2">
      <c r="A96" s="34" t="s">
        <v>279</v>
      </c>
      <c r="B96" s="34" t="s">
        <v>24</v>
      </c>
      <c r="C96" s="35" t="s">
        <v>280</v>
      </c>
      <c r="D96" s="36" t="s">
        <v>281</v>
      </c>
      <c r="E96" s="40" t="s">
        <v>16</v>
      </c>
      <c r="F96" s="37">
        <v>223.54</v>
      </c>
      <c r="G96" s="60">
        <v>4</v>
      </c>
      <c r="H96" s="60">
        <f>F96*(1+$H$8)</f>
        <v>292.636214</v>
      </c>
      <c r="I96" s="39">
        <f t="shared" ref="I96:I98" si="13">G96*H96</f>
        <v>1170.544856</v>
      </c>
      <c r="J96" s="30" t="s">
        <v>282</v>
      </c>
      <c r="K96" s="69"/>
    </row>
    <row r="97" spans="1:11" ht="48" x14ac:dyDescent="0.2">
      <c r="A97" s="34" t="s">
        <v>283</v>
      </c>
      <c r="B97" s="34" t="s">
        <v>24</v>
      </c>
      <c r="C97" s="35" t="s">
        <v>284</v>
      </c>
      <c r="D97" s="36" t="s">
        <v>285</v>
      </c>
      <c r="E97" s="40" t="s">
        <v>16</v>
      </c>
      <c r="F97" s="37">
        <v>226.84</v>
      </c>
      <c r="G97" s="60">
        <v>8</v>
      </c>
      <c r="H97" s="60">
        <f>F97*(1+$H$8)</f>
        <v>296.95624399999997</v>
      </c>
      <c r="I97" s="39">
        <f t="shared" si="13"/>
        <v>2375.6499519999998</v>
      </c>
      <c r="J97" s="30" t="s">
        <v>282</v>
      </c>
      <c r="K97" s="69"/>
    </row>
    <row r="98" spans="1:11" ht="48" x14ac:dyDescent="0.2">
      <c r="A98" s="34" t="s">
        <v>286</v>
      </c>
      <c r="B98" s="34" t="s">
        <v>24</v>
      </c>
      <c r="C98" s="35" t="s">
        <v>287</v>
      </c>
      <c r="D98" s="36" t="s">
        <v>288</v>
      </c>
      <c r="E98" s="35" t="s">
        <v>43</v>
      </c>
      <c r="F98" s="37">
        <v>694.78</v>
      </c>
      <c r="G98" s="60">
        <f>4+6+4</f>
        <v>14</v>
      </c>
      <c r="H98" s="60">
        <f>F98*(1+$H$8)</f>
        <v>909.53649799999994</v>
      </c>
      <c r="I98" s="39">
        <f t="shared" si="13"/>
        <v>12733.510972</v>
      </c>
      <c r="J98" s="30" t="s">
        <v>289</v>
      </c>
      <c r="K98" s="69"/>
    </row>
    <row r="99" spans="1:11" ht="12.75" x14ac:dyDescent="0.2">
      <c r="A99" s="34"/>
      <c r="B99" s="34"/>
      <c r="C99" s="51"/>
      <c r="D99" s="45" t="s">
        <v>52</v>
      </c>
      <c r="E99" s="40"/>
      <c r="F99" s="39"/>
      <c r="G99" s="60"/>
      <c r="H99" s="60"/>
      <c r="I99" s="70">
        <f>SUM(I94:I98)</f>
        <v>39835.479164260003</v>
      </c>
      <c r="J99" s="30"/>
    </row>
    <row r="100" spans="1:11" s="12" customFormat="1" ht="12.75" x14ac:dyDescent="0.2">
      <c r="A100" s="31">
        <v>12</v>
      </c>
      <c r="B100" s="31"/>
      <c r="C100" s="31"/>
      <c r="D100" s="48" t="s">
        <v>290</v>
      </c>
      <c r="E100" s="71"/>
      <c r="F100" s="72"/>
      <c r="G100" s="72"/>
      <c r="H100" s="72"/>
      <c r="I100" s="72"/>
      <c r="J100" s="30"/>
    </row>
    <row r="101" spans="1:11" ht="84" x14ac:dyDescent="0.2">
      <c r="A101" s="34" t="s">
        <v>291</v>
      </c>
      <c r="B101" s="34" t="s">
        <v>24</v>
      </c>
      <c r="C101" s="35" t="s">
        <v>292</v>
      </c>
      <c r="D101" s="36" t="s">
        <v>293</v>
      </c>
      <c r="E101" s="40" t="s">
        <v>16</v>
      </c>
      <c r="F101" s="37">
        <v>151.72999999999999</v>
      </c>
      <c r="G101" s="60">
        <v>9</v>
      </c>
      <c r="H101" s="60">
        <f t="shared" ref="H101:H126" si="14">F101*(1+$H$8)</f>
        <v>198.62974299999996</v>
      </c>
      <c r="I101" s="39">
        <f t="shared" ref="I101:I126" si="15">G101*H101</f>
        <v>1787.6676869999997</v>
      </c>
      <c r="J101" s="30" t="s">
        <v>294</v>
      </c>
    </row>
    <row r="102" spans="1:11" ht="72" x14ac:dyDescent="0.2">
      <c r="A102" s="34" t="s">
        <v>295</v>
      </c>
      <c r="B102" s="34" t="s">
        <v>24</v>
      </c>
      <c r="C102" s="35" t="s">
        <v>296</v>
      </c>
      <c r="D102" s="36" t="s">
        <v>297</v>
      </c>
      <c r="E102" s="40" t="s">
        <v>16</v>
      </c>
      <c r="F102" s="37">
        <v>214.35</v>
      </c>
      <c r="G102" s="60">
        <v>3</v>
      </c>
      <c r="H102" s="60">
        <f t="shared" si="14"/>
        <v>280.60558499999996</v>
      </c>
      <c r="I102" s="39">
        <f t="shared" si="15"/>
        <v>841.81675499999983</v>
      </c>
      <c r="J102" s="30" t="s">
        <v>298</v>
      </c>
    </row>
    <row r="103" spans="1:11" ht="60" x14ac:dyDescent="0.2">
      <c r="A103" s="34" t="s">
        <v>299</v>
      </c>
      <c r="B103" s="34" t="s">
        <v>24</v>
      </c>
      <c r="C103" s="35" t="s">
        <v>300</v>
      </c>
      <c r="D103" s="36" t="s">
        <v>301</v>
      </c>
      <c r="E103" s="40" t="s">
        <v>16</v>
      </c>
      <c r="F103" s="37">
        <v>312.25</v>
      </c>
      <c r="G103" s="60">
        <v>5</v>
      </c>
      <c r="H103" s="60">
        <f t="shared" si="14"/>
        <v>408.76647499999996</v>
      </c>
      <c r="I103" s="39">
        <f t="shared" si="15"/>
        <v>2043.8323749999997</v>
      </c>
      <c r="J103" s="30" t="s">
        <v>302</v>
      </c>
    </row>
    <row r="104" spans="1:11" ht="48" x14ac:dyDescent="0.2">
      <c r="A104" s="34" t="s">
        <v>303</v>
      </c>
      <c r="B104" s="34" t="s">
        <v>24</v>
      </c>
      <c r="C104" s="35" t="s">
        <v>304</v>
      </c>
      <c r="D104" s="36" t="s">
        <v>305</v>
      </c>
      <c r="E104" s="40" t="s">
        <v>16</v>
      </c>
      <c r="F104" s="37">
        <v>75.27</v>
      </c>
      <c r="G104" s="60">
        <v>1</v>
      </c>
      <c r="H104" s="60">
        <f t="shared" si="14"/>
        <v>98.535956999999996</v>
      </c>
      <c r="I104" s="39">
        <f t="shared" si="15"/>
        <v>98.535956999999996</v>
      </c>
      <c r="J104" s="30" t="s">
        <v>306</v>
      </c>
    </row>
    <row r="105" spans="1:11" ht="60" x14ac:dyDescent="0.2">
      <c r="A105" s="34" t="s">
        <v>307</v>
      </c>
      <c r="B105" s="34" t="s">
        <v>24</v>
      </c>
      <c r="C105" s="35" t="s">
        <v>308</v>
      </c>
      <c r="D105" s="36" t="s">
        <v>309</v>
      </c>
      <c r="E105" s="40" t="s">
        <v>16</v>
      </c>
      <c r="F105" s="37">
        <v>751.12</v>
      </c>
      <c r="G105" s="60">
        <v>10</v>
      </c>
      <c r="H105" s="60">
        <f t="shared" si="14"/>
        <v>983.29119199999991</v>
      </c>
      <c r="I105" s="39">
        <f t="shared" si="15"/>
        <v>9832.9119199999986</v>
      </c>
      <c r="J105" s="30" t="s">
        <v>306</v>
      </c>
    </row>
    <row r="106" spans="1:11" ht="36" x14ac:dyDescent="0.2">
      <c r="A106" s="34" t="s">
        <v>310</v>
      </c>
      <c r="B106" s="34" t="s">
        <v>24</v>
      </c>
      <c r="C106" s="35" t="s">
        <v>311</v>
      </c>
      <c r="D106" s="36" t="s">
        <v>312</v>
      </c>
      <c r="E106" s="35" t="s">
        <v>43</v>
      </c>
      <c r="F106" s="37">
        <v>52.89</v>
      </c>
      <c r="G106" s="60">
        <f>28.77+4.65+9.7+2+17.2+6.5</f>
        <v>68.820000000000007</v>
      </c>
      <c r="H106" s="60">
        <f t="shared" si="14"/>
        <v>69.238298999999998</v>
      </c>
      <c r="I106" s="39">
        <f t="shared" si="15"/>
        <v>4764.9797371800005</v>
      </c>
      <c r="J106" s="30" t="s">
        <v>306</v>
      </c>
    </row>
    <row r="107" spans="1:11" ht="24" x14ac:dyDescent="0.2">
      <c r="A107" s="34" t="s">
        <v>313</v>
      </c>
      <c r="B107" s="34" t="s">
        <v>24</v>
      </c>
      <c r="C107" s="35" t="s">
        <v>314</v>
      </c>
      <c r="D107" s="36" t="s">
        <v>315</v>
      </c>
      <c r="E107" s="40" t="s">
        <v>16</v>
      </c>
      <c r="F107" s="37">
        <v>65.27</v>
      </c>
      <c r="G107" s="60">
        <v>5</v>
      </c>
      <c r="H107" s="60">
        <f t="shared" si="14"/>
        <v>85.444956999999988</v>
      </c>
      <c r="I107" s="39">
        <f t="shared" si="15"/>
        <v>427.22478499999994</v>
      </c>
      <c r="J107" s="30" t="s">
        <v>306</v>
      </c>
    </row>
    <row r="108" spans="1:11" ht="24" x14ac:dyDescent="0.2">
      <c r="A108" s="34" t="s">
        <v>316</v>
      </c>
      <c r="B108" s="34" t="s">
        <v>24</v>
      </c>
      <c r="C108" s="35" t="s">
        <v>317</v>
      </c>
      <c r="D108" s="36" t="s">
        <v>318</v>
      </c>
      <c r="E108" s="40" t="s">
        <v>16</v>
      </c>
      <c r="F108" s="37">
        <v>53.63</v>
      </c>
      <c r="G108" s="60">
        <v>1</v>
      </c>
      <c r="H108" s="60">
        <f t="shared" si="14"/>
        <v>70.207032999999996</v>
      </c>
      <c r="I108" s="39">
        <f t="shared" si="15"/>
        <v>70.207032999999996</v>
      </c>
      <c r="J108" s="30" t="s">
        <v>306</v>
      </c>
    </row>
    <row r="109" spans="1:11" ht="108" x14ac:dyDescent="0.2">
      <c r="A109" s="34" t="s">
        <v>319</v>
      </c>
      <c r="B109" s="34" t="s">
        <v>24</v>
      </c>
      <c r="C109" s="35" t="s">
        <v>320</v>
      </c>
      <c r="D109" s="36" t="s">
        <v>321</v>
      </c>
      <c r="E109" s="40" t="s">
        <v>16</v>
      </c>
      <c r="F109" s="37">
        <v>597.49</v>
      </c>
      <c r="G109" s="60">
        <v>4</v>
      </c>
      <c r="H109" s="60">
        <f t="shared" si="14"/>
        <v>782.17415899999992</v>
      </c>
      <c r="I109" s="39">
        <f t="shared" si="15"/>
        <v>3128.6966359999997</v>
      </c>
      <c r="J109" s="30" t="s">
        <v>306</v>
      </c>
    </row>
    <row r="110" spans="1:11" ht="60" x14ac:dyDescent="0.2">
      <c r="A110" s="34" t="s">
        <v>322</v>
      </c>
      <c r="B110" s="34" t="s">
        <v>24</v>
      </c>
      <c r="C110" s="35" t="s">
        <v>323</v>
      </c>
      <c r="D110" s="36" t="s">
        <v>324</v>
      </c>
      <c r="E110" s="40" t="s">
        <v>16</v>
      </c>
      <c r="F110" s="37">
        <v>580.49</v>
      </c>
      <c r="G110" s="60">
        <v>9</v>
      </c>
      <c r="H110" s="60">
        <f t="shared" si="14"/>
        <v>759.91945899999996</v>
      </c>
      <c r="I110" s="39">
        <f t="shared" si="15"/>
        <v>6839.2751309999994</v>
      </c>
      <c r="J110" s="30" t="s">
        <v>306</v>
      </c>
    </row>
    <row r="111" spans="1:11" ht="72" x14ac:dyDescent="0.2">
      <c r="A111" s="34" t="s">
        <v>325</v>
      </c>
      <c r="B111" s="34" t="s">
        <v>24</v>
      </c>
      <c r="C111" s="35" t="s">
        <v>326</v>
      </c>
      <c r="D111" s="36" t="s">
        <v>327</v>
      </c>
      <c r="E111" s="40" t="s">
        <v>16</v>
      </c>
      <c r="F111" s="37">
        <v>457.69</v>
      </c>
      <c r="G111" s="60">
        <v>4</v>
      </c>
      <c r="H111" s="60">
        <f t="shared" si="14"/>
        <v>599.16197899999997</v>
      </c>
      <c r="I111" s="39">
        <f t="shared" si="15"/>
        <v>2396.6479159999999</v>
      </c>
      <c r="J111" s="30" t="s">
        <v>306</v>
      </c>
    </row>
    <row r="112" spans="1:11" ht="48" x14ac:dyDescent="0.2">
      <c r="A112" s="34" t="s">
        <v>328</v>
      </c>
      <c r="B112" s="34" t="s">
        <v>24</v>
      </c>
      <c r="C112" s="35" t="s">
        <v>329</v>
      </c>
      <c r="D112" s="36" t="s">
        <v>330</v>
      </c>
      <c r="E112" s="40" t="s">
        <v>16</v>
      </c>
      <c r="F112" s="37">
        <v>306.76</v>
      </c>
      <c r="G112" s="60">
        <v>9</v>
      </c>
      <c r="H112" s="60">
        <f t="shared" si="14"/>
        <v>401.57951599999996</v>
      </c>
      <c r="I112" s="39">
        <f t="shared" si="15"/>
        <v>3614.2156439999994</v>
      </c>
      <c r="J112" s="30" t="s">
        <v>306</v>
      </c>
    </row>
    <row r="113" spans="1:10" ht="60" x14ac:dyDescent="0.2">
      <c r="A113" s="34" t="s">
        <v>331</v>
      </c>
      <c r="B113" s="34" t="s">
        <v>24</v>
      </c>
      <c r="C113" s="35" t="s">
        <v>332</v>
      </c>
      <c r="D113" s="36" t="s">
        <v>333</v>
      </c>
      <c r="E113" s="40" t="s">
        <v>16</v>
      </c>
      <c r="F113" s="37">
        <v>481.17</v>
      </c>
      <c r="G113" s="60">
        <v>1</v>
      </c>
      <c r="H113" s="60">
        <f t="shared" si="14"/>
        <v>629.89964699999996</v>
      </c>
      <c r="I113" s="39">
        <f t="shared" si="15"/>
        <v>629.89964699999996</v>
      </c>
      <c r="J113" s="30" t="s">
        <v>306</v>
      </c>
    </row>
    <row r="114" spans="1:10" ht="48" x14ac:dyDescent="0.2">
      <c r="A114" s="34" t="s">
        <v>334</v>
      </c>
      <c r="B114" s="34" t="s">
        <v>24</v>
      </c>
      <c r="C114" s="35" t="s">
        <v>335</v>
      </c>
      <c r="D114" s="36" t="s">
        <v>336</v>
      </c>
      <c r="E114" s="40" t="s">
        <v>16</v>
      </c>
      <c r="F114" s="37">
        <v>401.52</v>
      </c>
      <c r="G114" s="60">
        <v>2</v>
      </c>
      <c r="H114" s="60">
        <f t="shared" si="14"/>
        <v>525.62983199999996</v>
      </c>
      <c r="I114" s="39">
        <f t="shared" si="15"/>
        <v>1051.2596639999999</v>
      </c>
      <c r="J114" s="30" t="s">
        <v>306</v>
      </c>
    </row>
    <row r="115" spans="1:10" ht="48" x14ac:dyDescent="0.2">
      <c r="A115" s="34" t="s">
        <v>337</v>
      </c>
      <c r="B115" s="34" t="s">
        <v>24</v>
      </c>
      <c r="C115" s="35" t="s">
        <v>338</v>
      </c>
      <c r="D115" s="36" t="s">
        <v>339</v>
      </c>
      <c r="E115" s="40" t="s">
        <v>16</v>
      </c>
      <c r="F115" s="37">
        <v>126.69</v>
      </c>
      <c r="G115" s="60">
        <v>13</v>
      </c>
      <c r="H115" s="60">
        <f t="shared" si="14"/>
        <v>165.84987899999999</v>
      </c>
      <c r="I115" s="39">
        <f t="shared" si="15"/>
        <v>2156.0484269999997</v>
      </c>
      <c r="J115" s="30" t="s">
        <v>306</v>
      </c>
    </row>
    <row r="116" spans="1:10" ht="48" x14ac:dyDescent="0.2">
      <c r="A116" s="34" t="s">
        <v>340</v>
      </c>
      <c r="B116" s="34" t="s">
        <v>24</v>
      </c>
      <c r="C116" s="35" t="s">
        <v>341</v>
      </c>
      <c r="D116" s="36" t="s">
        <v>342</v>
      </c>
      <c r="E116" s="40" t="s">
        <v>16</v>
      </c>
      <c r="F116" s="37">
        <v>156.08000000000001</v>
      </c>
      <c r="G116" s="60">
        <v>1</v>
      </c>
      <c r="H116" s="60">
        <f t="shared" si="14"/>
        <v>204.32432800000001</v>
      </c>
      <c r="I116" s="39">
        <f t="shared" si="15"/>
        <v>204.32432800000001</v>
      </c>
      <c r="J116" s="30" t="s">
        <v>306</v>
      </c>
    </row>
    <row r="117" spans="1:10" ht="24" x14ac:dyDescent="0.2">
      <c r="A117" s="34" t="s">
        <v>343</v>
      </c>
      <c r="B117" s="34" t="s">
        <v>24</v>
      </c>
      <c r="C117" s="35" t="s">
        <v>344</v>
      </c>
      <c r="D117" s="36" t="s">
        <v>345</v>
      </c>
      <c r="E117" s="40" t="s">
        <v>16</v>
      </c>
      <c r="F117" s="37">
        <v>75.599999999999994</v>
      </c>
      <c r="G117" s="60">
        <v>2</v>
      </c>
      <c r="H117" s="60">
        <f t="shared" si="14"/>
        <v>98.967959999999991</v>
      </c>
      <c r="I117" s="39">
        <f t="shared" si="15"/>
        <v>197.93591999999998</v>
      </c>
      <c r="J117" s="30" t="s">
        <v>306</v>
      </c>
    </row>
    <row r="118" spans="1:10" ht="60" x14ac:dyDescent="0.2">
      <c r="A118" s="34" t="s">
        <v>346</v>
      </c>
      <c r="B118" s="34" t="s">
        <v>24</v>
      </c>
      <c r="C118" s="35" t="s">
        <v>347</v>
      </c>
      <c r="D118" s="36" t="s">
        <v>348</v>
      </c>
      <c r="E118" s="40" t="s">
        <v>16</v>
      </c>
      <c r="F118" s="37">
        <v>168.25</v>
      </c>
      <c r="G118" s="60">
        <f>8+6</f>
        <v>14</v>
      </c>
      <c r="H118" s="60">
        <f t="shared" si="14"/>
        <v>220.25607499999998</v>
      </c>
      <c r="I118" s="39">
        <f t="shared" si="15"/>
        <v>3083.5850499999997</v>
      </c>
      <c r="J118" s="30" t="s">
        <v>349</v>
      </c>
    </row>
    <row r="119" spans="1:10" ht="24" x14ac:dyDescent="0.2">
      <c r="A119" s="34" t="s">
        <v>350</v>
      </c>
      <c r="B119" s="34" t="s">
        <v>24</v>
      </c>
      <c r="C119" s="35" t="s">
        <v>351</v>
      </c>
      <c r="D119" s="36" t="s">
        <v>352</v>
      </c>
      <c r="E119" s="35" t="s">
        <v>43</v>
      </c>
      <c r="F119" s="37">
        <v>22.47</v>
      </c>
      <c r="G119" s="60">
        <v>29</v>
      </c>
      <c r="H119" s="60">
        <f t="shared" si="14"/>
        <v>29.415476999999996</v>
      </c>
      <c r="I119" s="39">
        <f t="shared" si="15"/>
        <v>853.04883299999983</v>
      </c>
      <c r="J119" s="30" t="s">
        <v>349</v>
      </c>
    </row>
    <row r="120" spans="1:10" ht="36" x14ac:dyDescent="0.2">
      <c r="A120" s="34" t="s">
        <v>353</v>
      </c>
      <c r="B120" s="34" t="s">
        <v>24</v>
      </c>
      <c r="C120" s="35" t="s">
        <v>354</v>
      </c>
      <c r="D120" s="36" t="s">
        <v>355</v>
      </c>
      <c r="E120" s="35" t="s">
        <v>43</v>
      </c>
      <c r="F120" s="37">
        <v>42.89</v>
      </c>
      <c r="G120" s="60">
        <v>57</v>
      </c>
      <c r="H120" s="60">
        <f t="shared" si="14"/>
        <v>56.147298999999997</v>
      </c>
      <c r="I120" s="39">
        <f t="shared" si="15"/>
        <v>3200.3960429999997</v>
      </c>
      <c r="J120" s="30" t="s">
        <v>349</v>
      </c>
    </row>
    <row r="121" spans="1:10" ht="36" x14ac:dyDescent="0.2">
      <c r="A121" s="34" t="s">
        <v>356</v>
      </c>
      <c r="B121" s="34" t="s">
        <v>24</v>
      </c>
      <c r="C121" s="35" t="s">
        <v>357</v>
      </c>
      <c r="D121" s="36" t="s">
        <v>358</v>
      </c>
      <c r="E121" s="40" t="s">
        <v>16</v>
      </c>
      <c r="F121" s="37">
        <v>108.02</v>
      </c>
      <c r="G121" s="60">
        <v>1</v>
      </c>
      <c r="H121" s="60">
        <f t="shared" si="14"/>
        <v>141.40898199999998</v>
      </c>
      <c r="I121" s="39">
        <f t="shared" si="15"/>
        <v>141.40898199999998</v>
      </c>
      <c r="J121" s="30" t="s">
        <v>349</v>
      </c>
    </row>
    <row r="122" spans="1:10" ht="36" x14ac:dyDescent="0.2">
      <c r="A122" s="34" t="s">
        <v>359</v>
      </c>
      <c r="B122" s="34" t="s">
        <v>24</v>
      </c>
      <c r="C122" s="35" t="s">
        <v>360</v>
      </c>
      <c r="D122" s="36" t="s">
        <v>361</v>
      </c>
      <c r="E122" s="40" t="s">
        <v>16</v>
      </c>
      <c r="F122" s="37">
        <v>179.43</v>
      </c>
      <c r="G122" s="60">
        <v>6</v>
      </c>
      <c r="H122" s="60">
        <f t="shared" si="14"/>
        <v>234.89181299999998</v>
      </c>
      <c r="I122" s="39">
        <f t="shared" si="15"/>
        <v>1409.350878</v>
      </c>
      <c r="J122" s="30" t="s">
        <v>349</v>
      </c>
    </row>
    <row r="123" spans="1:10" ht="36" x14ac:dyDescent="0.2">
      <c r="A123" s="34" t="s">
        <v>362</v>
      </c>
      <c r="B123" s="34" t="s">
        <v>24</v>
      </c>
      <c r="C123" s="35" t="s">
        <v>363</v>
      </c>
      <c r="D123" s="36" t="s">
        <v>364</v>
      </c>
      <c r="E123" s="40" t="s">
        <v>16</v>
      </c>
      <c r="F123" s="37">
        <v>80.599999999999994</v>
      </c>
      <c r="G123" s="60">
        <v>5</v>
      </c>
      <c r="H123" s="60">
        <f t="shared" si="14"/>
        <v>105.51345999999998</v>
      </c>
      <c r="I123" s="39">
        <f t="shared" si="15"/>
        <v>527.56729999999993</v>
      </c>
      <c r="J123" s="30" t="s">
        <v>349</v>
      </c>
    </row>
    <row r="124" spans="1:10" ht="12.75" x14ac:dyDescent="0.2">
      <c r="A124" s="34" t="s">
        <v>365</v>
      </c>
      <c r="B124" s="34" t="s">
        <v>24</v>
      </c>
      <c r="C124" s="35" t="s">
        <v>366</v>
      </c>
      <c r="D124" s="36" t="s">
        <v>367</v>
      </c>
      <c r="E124" s="40" t="s">
        <v>16</v>
      </c>
      <c r="F124" s="37">
        <v>56.85</v>
      </c>
      <c r="G124" s="60">
        <v>13</v>
      </c>
      <c r="H124" s="60">
        <f t="shared" si="14"/>
        <v>74.422335000000004</v>
      </c>
      <c r="I124" s="39">
        <f t="shared" si="15"/>
        <v>967.49035500000002</v>
      </c>
      <c r="J124" s="30" t="s">
        <v>306</v>
      </c>
    </row>
    <row r="125" spans="1:10" ht="24" x14ac:dyDescent="0.2">
      <c r="A125" s="34" t="s">
        <v>368</v>
      </c>
      <c r="B125" s="34" t="s">
        <v>24</v>
      </c>
      <c r="C125" s="35" t="s">
        <v>369</v>
      </c>
      <c r="D125" s="36" t="s">
        <v>370</v>
      </c>
      <c r="E125" s="40" t="s">
        <v>16</v>
      </c>
      <c r="F125" s="37">
        <v>196.77</v>
      </c>
      <c r="G125" s="60">
        <v>11</v>
      </c>
      <c r="H125" s="60">
        <f t="shared" si="14"/>
        <v>257.59160700000001</v>
      </c>
      <c r="I125" s="39">
        <f t="shared" si="15"/>
        <v>2833.5076770000001</v>
      </c>
      <c r="J125" s="30" t="s">
        <v>306</v>
      </c>
    </row>
    <row r="126" spans="1:10" ht="48" x14ac:dyDescent="0.2">
      <c r="A126" s="34" t="s">
        <v>371</v>
      </c>
      <c r="B126" s="34" t="s">
        <v>24</v>
      </c>
      <c r="C126" s="35" t="s">
        <v>372</v>
      </c>
      <c r="D126" s="36" t="s">
        <v>373</v>
      </c>
      <c r="E126" s="40" t="s">
        <v>16</v>
      </c>
      <c r="F126" s="37">
        <v>1638.36</v>
      </c>
      <c r="G126" s="60">
        <v>2</v>
      </c>
      <c r="H126" s="60">
        <f t="shared" si="14"/>
        <v>2144.7770759999999</v>
      </c>
      <c r="I126" s="39">
        <f t="shared" si="15"/>
        <v>4289.5541519999997</v>
      </c>
      <c r="J126" s="30" t="s">
        <v>374</v>
      </c>
    </row>
    <row r="127" spans="1:10" ht="12.75" x14ac:dyDescent="0.2">
      <c r="A127" s="34"/>
      <c r="B127" s="34"/>
      <c r="C127" s="34"/>
      <c r="D127" s="45" t="s">
        <v>52</v>
      </c>
      <c r="E127" s="40"/>
      <c r="F127" s="60"/>
      <c r="G127" s="60"/>
      <c r="H127" s="60"/>
      <c r="I127" s="70">
        <f>SUM(I101:I126)</f>
        <v>57391.388832179997</v>
      </c>
      <c r="J127" s="30"/>
    </row>
    <row r="128" spans="1:10" ht="12.75" x14ac:dyDescent="0.2">
      <c r="A128" s="31">
        <v>13</v>
      </c>
      <c r="B128" s="31"/>
      <c r="C128" s="55"/>
      <c r="D128" s="48" t="s">
        <v>375</v>
      </c>
      <c r="E128" s="49"/>
      <c r="F128" s="50"/>
      <c r="G128" s="50"/>
      <c r="H128" s="50"/>
      <c r="I128" s="50"/>
      <c r="J128" s="30"/>
    </row>
    <row r="129" spans="1:10" s="6" customFormat="1" ht="36" x14ac:dyDescent="0.2">
      <c r="A129" s="51" t="s">
        <v>376</v>
      </c>
      <c r="B129" s="34" t="s">
        <v>24</v>
      </c>
      <c r="C129" s="35" t="s">
        <v>377</v>
      </c>
      <c r="D129" s="36" t="s">
        <v>378</v>
      </c>
      <c r="E129" s="40" t="s">
        <v>16</v>
      </c>
      <c r="F129" s="37">
        <v>8.84</v>
      </c>
      <c r="G129" s="73">
        <v>0</v>
      </c>
      <c r="H129" s="60">
        <f t="shared" ref="H129:H183" si="16">F129*(1+$H$8)</f>
        <v>11.572443999999999</v>
      </c>
      <c r="I129" s="39">
        <f t="shared" ref="I129:I183" si="17">G129*H129</f>
        <v>0</v>
      </c>
      <c r="J129" s="30" t="s">
        <v>379</v>
      </c>
    </row>
    <row r="130" spans="1:10" s="6" customFormat="1" ht="36" x14ac:dyDescent="0.2">
      <c r="A130" s="51" t="s">
        <v>380</v>
      </c>
      <c r="B130" s="34" t="s">
        <v>24</v>
      </c>
      <c r="C130" s="35" t="s">
        <v>381</v>
      </c>
      <c r="D130" s="36" t="s">
        <v>382</v>
      </c>
      <c r="E130" s="40" t="s">
        <v>16</v>
      </c>
      <c r="F130" s="37">
        <v>11.64</v>
      </c>
      <c r="G130" s="73">
        <v>0</v>
      </c>
      <c r="H130" s="60">
        <f t="shared" si="16"/>
        <v>15.237924</v>
      </c>
      <c r="I130" s="39">
        <f t="shared" si="17"/>
        <v>0</v>
      </c>
      <c r="J130" s="30" t="s">
        <v>379</v>
      </c>
    </row>
    <row r="131" spans="1:10" s="6" customFormat="1" ht="48" x14ac:dyDescent="0.2">
      <c r="A131" s="51" t="s">
        <v>383</v>
      </c>
      <c r="B131" s="34" t="s">
        <v>24</v>
      </c>
      <c r="C131" s="35" t="s">
        <v>384</v>
      </c>
      <c r="D131" s="36" t="s">
        <v>385</v>
      </c>
      <c r="E131" s="40" t="s">
        <v>16</v>
      </c>
      <c r="F131" s="37">
        <v>12.68</v>
      </c>
      <c r="G131" s="73">
        <v>0</v>
      </c>
      <c r="H131" s="60">
        <f t="shared" si="16"/>
        <v>16.599387999999998</v>
      </c>
      <c r="I131" s="39">
        <f t="shared" si="17"/>
        <v>0</v>
      </c>
      <c r="J131" s="30" t="s">
        <v>379</v>
      </c>
    </row>
    <row r="132" spans="1:10" s="6" customFormat="1" ht="36" x14ac:dyDescent="0.2">
      <c r="A132" s="51" t="s">
        <v>386</v>
      </c>
      <c r="B132" s="34" t="s">
        <v>24</v>
      </c>
      <c r="C132" s="35" t="s">
        <v>387</v>
      </c>
      <c r="D132" s="36" t="s">
        <v>388</v>
      </c>
      <c r="E132" s="35" t="s">
        <v>43</v>
      </c>
      <c r="F132" s="37">
        <v>110.43</v>
      </c>
      <c r="G132" s="73">
        <f>28.6+85.7</f>
        <v>114.30000000000001</v>
      </c>
      <c r="H132" s="60">
        <f t="shared" si="16"/>
        <v>144.56391300000001</v>
      </c>
      <c r="I132" s="39">
        <f t="shared" si="17"/>
        <v>16523.655255900005</v>
      </c>
      <c r="J132" s="30" t="s">
        <v>306</v>
      </c>
    </row>
    <row r="133" spans="1:10" s="6" customFormat="1" ht="36" x14ac:dyDescent="0.2">
      <c r="A133" s="51" t="s">
        <v>389</v>
      </c>
      <c r="B133" s="34" t="s">
        <v>24</v>
      </c>
      <c r="C133" s="35" t="s">
        <v>390</v>
      </c>
      <c r="D133" s="36" t="s">
        <v>391</v>
      </c>
      <c r="E133" s="35" t="s">
        <v>43</v>
      </c>
      <c r="F133" s="37">
        <v>59.3</v>
      </c>
      <c r="G133" s="73">
        <v>28.6</v>
      </c>
      <c r="H133" s="60">
        <f t="shared" si="16"/>
        <v>77.629629999999992</v>
      </c>
      <c r="I133" s="39">
        <f t="shared" si="17"/>
        <v>2220.207418</v>
      </c>
      <c r="J133" s="30" t="s">
        <v>306</v>
      </c>
    </row>
    <row r="134" spans="1:10" s="6" customFormat="1" ht="36" x14ac:dyDescent="0.2">
      <c r="A134" s="51" t="s">
        <v>392</v>
      </c>
      <c r="B134" s="34" t="s">
        <v>24</v>
      </c>
      <c r="C134" s="35" t="s">
        <v>393</v>
      </c>
      <c r="D134" s="36" t="s">
        <v>394</v>
      </c>
      <c r="E134" s="35" t="s">
        <v>43</v>
      </c>
      <c r="F134" s="37">
        <v>41.02</v>
      </c>
      <c r="G134" s="73">
        <f>5.4+16.2</f>
        <v>21.6</v>
      </c>
      <c r="H134" s="60">
        <f t="shared" si="16"/>
        <v>53.699282000000004</v>
      </c>
      <c r="I134" s="39">
        <f t="shared" si="17"/>
        <v>1159.9044912000002</v>
      </c>
      <c r="J134" s="30" t="s">
        <v>306</v>
      </c>
    </row>
    <row r="135" spans="1:10" s="6" customFormat="1" ht="36" x14ac:dyDescent="0.2">
      <c r="A135" s="51" t="s">
        <v>395</v>
      </c>
      <c r="B135" s="34" t="s">
        <v>24</v>
      </c>
      <c r="C135" s="35" t="s">
        <v>396</v>
      </c>
      <c r="D135" s="36" t="s">
        <v>397</v>
      </c>
      <c r="E135" s="35" t="s">
        <v>43</v>
      </c>
      <c r="F135" s="37">
        <v>32.43</v>
      </c>
      <c r="G135" s="73">
        <f>6.5+19.5</f>
        <v>26</v>
      </c>
      <c r="H135" s="60">
        <f t="shared" si="16"/>
        <v>42.454113</v>
      </c>
      <c r="I135" s="39">
        <f t="shared" si="17"/>
        <v>1103.8069379999999</v>
      </c>
      <c r="J135" s="30" t="s">
        <v>306</v>
      </c>
    </row>
    <row r="136" spans="1:10" s="6" customFormat="1" ht="36" x14ac:dyDescent="0.2">
      <c r="A136" s="51" t="s">
        <v>398</v>
      </c>
      <c r="B136" s="34" t="s">
        <v>24</v>
      </c>
      <c r="C136" s="35" t="s">
        <v>399</v>
      </c>
      <c r="D136" s="36" t="s">
        <v>400</v>
      </c>
      <c r="E136" s="35" t="s">
        <v>43</v>
      </c>
      <c r="F136" s="37">
        <v>22.53</v>
      </c>
      <c r="G136" s="73">
        <v>11.9</v>
      </c>
      <c r="H136" s="60">
        <f t="shared" si="16"/>
        <v>29.494022999999999</v>
      </c>
      <c r="I136" s="39">
        <f t="shared" si="17"/>
        <v>350.97887370000001</v>
      </c>
      <c r="J136" s="30" t="s">
        <v>306</v>
      </c>
    </row>
    <row r="137" spans="1:10" s="6" customFormat="1" ht="36" x14ac:dyDescent="0.2">
      <c r="A137" s="51" t="s">
        <v>401</v>
      </c>
      <c r="B137" s="34" t="s">
        <v>24</v>
      </c>
      <c r="C137" s="35" t="s">
        <v>402</v>
      </c>
      <c r="D137" s="36" t="s">
        <v>403</v>
      </c>
      <c r="E137" s="35" t="s">
        <v>43</v>
      </c>
      <c r="F137" s="37">
        <v>14.8</v>
      </c>
      <c r="G137" s="73">
        <f>45.4+90.8+45.4</f>
        <v>181.6</v>
      </c>
      <c r="H137" s="60">
        <f t="shared" si="16"/>
        <v>19.374680000000001</v>
      </c>
      <c r="I137" s="39">
        <f t="shared" si="17"/>
        <v>3518.4418880000003</v>
      </c>
      <c r="J137" s="30" t="s">
        <v>306</v>
      </c>
    </row>
    <row r="138" spans="1:10" s="6" customFormat="1" ht="36" x14ac:dyDescent="0.2">
      <c r="A138" s="51" t="s">
        <v>404</v>
      </c>
      <c r="B138" s="34" t="s">
        <v>24</v>
      </c>
      <c r="C138" s="35" t="s">
        <v>405</v>
      </c>
      <c r="D138" s="36" t="s">
        <v>406</v>
      </c>
      <c r="E138" s="35" t="s">
        <v>43</v>
      </c>
      <c r="F138" s="37">
        <v>6.58</v>
      </c>
      <c r="G138" s="73">
        <f>42.1+9.5</f>
        <v>51.6</v>
      </c>
      <c r="H138" s="60">
        <f t="shared" si="16"/>
        <v>8.6138779999999997</v>
      </c>
      <c r="I138" s="39">
        <f t="shared" si="17"/>
        <v>444.47610479999997</v>
      </c>
      <c r="J138" s="30" t="s">
        <v>306</v>
      </c>
    </row>
    <row r="139" spans="1:10" s="6" customFormat="1" ht="36" x14ac:dyDescent="0.2">
      <c r="A139" s="51" t="s">
        <v>407</v>
      </c>
      <c r="B139" s="34" t="s">
        <v>24</v>
      </c>
      <c r="C139" s="35" t="s">
        <v>408</v>
      </c>
      <c r="D139" s="36" t="s">
        <v>409</v>
      </c>
      <c r="E139" s="35" t="s">
        <v>43</v>
      </c>
      <c r="F139" s="37">
        <v>6.54</v>
      </c>
      <c r="G139" s="73">
        <f>257+319+461.7+49.4</f>
        <v>1087.1000000000001</v>
      </c>
      <c r="H139" s="60">
        <f t="shared" si="16"/>
        <v>8.561513999999999</v>
      </c>
      <c r="I139" s="39">
        <f t="shared" si="17"/>
        <v>9307.2218694000003</v>
      </c>
      <c r="J139" s="30" t="s">
        <v>306</v>
      </c>
    </row>
    <row r="140" spans="1:10" s="6" customFormat="1" ht="36" x14ac:dyDescent="0.2">
      <c r="A140" s="51" t="s">
        <v>410</v>
      </c>
      <c r="B140" s="34" t="s">
        <v>24</v>
      </c>
      <c r="C140" s="35" t="s">
        <v>411</v>
      </c>
      <c r="D140" s="36" t="s">
        <v>412</v>
      </c>
      <c r="E140" s="35" t="s">
        <v>43</v>
      </c>
      <c r="F140" s="37">
        <v>4.68</v>
      </c>
      <c r="G140" s="73">
        <f>614.97+874.2+943.9+150.7</f>
        <v>2583.77</v>
      </c>
      <c r="H140" s="60">
        <f t="shared" si="16"/>
        <v>6.126587999999999</v>
      </c>
      <c r="I140" s="39">
        <f t="shared" si="17"/>
        <v>15829.694276759998</v>
      </c>
      <c r="J140" s="30" t="s">
        <v>306</v>
      </c>
    </row>
    <row r="141" spans="1:10" s="6" customFormat="1" ht="24" x14ac:dyDescent="0.2">
      <c r="A141" s="51" t="s">
        <v>413</v>
      </c>
      <c r="B141" s="34" t="s">
        <v>24</v>
      </c>
      <c r="C141" s="35" t="s">
        <v>414</v>
      </c>
      <c r="D141" s="36" t="s">
        <v>415</v>
      </c>
      <c r="E141" s="40" t="s">
        <v>16</v>
      </c>
      <c r="F141" s="37">
        <v>104.35</v>
      </c>
      <c r="G141" s="73">
        <v>2</v>
      </c>
      <c r="H141" s="60">
        <f t="shared" si="16"/>
        <v>136.60458499999999</v>
      </c>
      <c r="I141" s="39">
        <f t="shared" si="17"/>
        <v>273.20916999999997</v>
      </c>
      <c r="J141" s="30" t="s">
        <v>306</v>
      </c>
    </row>
    <row r="142" spans="1:10" s="6" customFormat="1" ht="24" x14ac:dyDescent="0.2">
      <c r="A142" s="51" t="s">
        <v>416</v>
      </c>
      <c r="B142" s="34" t="s">
        <v>24</v>
      </c>
      <c r="C142" s="35" t="s">
        <v>417</v>
      </c>
      <c r="D142" s="36" t="s">
        <v>418</v>
      </c>
      <c r="E142" s="40" t="s">
        <v>16</v>
      </c>
      <c r="F142" s="37">
        <v>118.76</v>
      </c>
      <c r="G142" s="73">
        <v>1</v>
      </c>
      <c r="H142" s="60">
        <f t="shared" si="16"/>
        <v>155.468716</v>
      </c>
      <c r="I142" s="39">
        <f t="shared" si="17"/>
        <v>155.468716</v>
      </c>
      <c r="J142" s="30" t="s">
        <v>306</v>
      </c>
    </row>
    <row r="143" spans="1:10" s="6" customFormat="1" ht="24" x14ac:dyDescent="0.2">
      <c r="A143" s="51" t="s">
        <v>419</v>
      </c>
      <c r="B143" s="34" t="s">
        <v>24</v>
      </c>
      <c r="C143" s="35" t="s">
        <v>420</v>
      </c>
      <c r="D143" s="36" t="s">
        <v>421</v>
      </c>
      <c r="E143" s="40" t="s">
        <v>16</v>
      </c>
      <c r="F143" s="37">
        <v>112.16</v>
      </c>
      <c r="G143" s="73">
        <v>3</v>
      </c>
      <c r="H143" s="60">
        <f t="shared" si="16"/>
        <v>146.828656</v>
      </c>
      <c r="I143" s="39">
        <f t="shared" si="17"/>
        <v>440.48596799999996</v>
      </c>
      <c r="J143" s="30" t="s">
        <v>306</v>
      </c>
    </row>
    <row r="144" spans="1:10" s="6" customFormat="1" ht="48" x14ac:dyDescent="0.2">
      <c r="A144" s="51" t="s">
        <v>422</v>
      </c>
      <c r="B144" s="34" t="s">
        <v>24</v>
      </c>
      <c r="C144" s="35" t="s">
        <v>423</v>
      </c>
      <c r="D144" s="36" t="s">
        <v>424</v>
      </c>
      <c r="E144" s="40" t="s">
        <v>16</v>
      </c>
      <c r="F144" s="37">
        <v>25.47</v>
      </c>
      <c r="G144" s="73">
        <v>19</v>
      </c>
      <c r="H144" s="60">
        <f t="shared" si="16"/>
        <v>33.342776999999998</v>
      </c>
      <c r="I144" s="39">
        <f t="shared" si="17"/>
        <v>633.51276299999995</v>
      </c>
      <c r="J144" s="30" t="s">
        <v>306</v>
      </c>
    </row>
    <row r="145" spans="1:10" s="6" customFormat="1" ht="48" x14ac:dyDescent="0.2">
      <c r="A145" s="51" t="s">
        <v>425</v>
      </c>
      <c r="B145" s="34" t="s">
        <v>24</v>
      </c>
      <c r="C145" s="35" t="s">
        <v>426</v>
      </c>
      <c r="D145" s="36" t="s">
        <v>427</v>
      </c>
      <c r="E145" s="40" t="s">
        <v>16</v>
      </c>
      <c r="F145" s="37">
        <v>41.06</v>
      </c>
      <c r="G145" s="73">
        <v>3</v>
      </c>
      <c r="H145" s="60">
        <f t="shared" si="16"/>
        <v>53.751646000000001</v>
      </c>
      <c r="I145" s="39">
        <f t="shared" si="17"/>
        <v>161.25493800000001</v>
      </c>
      <c r="J145" s="30" t="s">
        <v>306</v>
      </c>
    </row>
    <row r="146" spans="1:10" s="6" customFormat="1" ht="48" x14ac:dyDescent="0.2">
      <c r="A146" s="51" t="s">
        <v>428</v>
      </c>
      <c r="B146" s="34" t="s">
        <v>24</v>
      </c>
      <c r="C146" s="35" t="s">
        <v>429</v>
      </c>
      <c r="D146" s="36" t="s">
        <v>430</v>
      </c>
      <c r="E146" s="40" t="s">
        <v>16</v>
      </c>
      <c r="F146" s="37">
        <v>45.76</v>
      </c>
      <c r="G146" s="73">
        <v>2</v>
      </c>
      <c r="H146" s="60">
        <f t="shared" si="16"/>
        <v>59.904415999999998</v>
      </c>
      <c r="I146" s="39">
        <f t="shared" si="17"/>
        <v>119.808832</v>
      </c>
      <c r="J146" s="30" t="s">
        <v>306</v>
      </c>
    </row>
    <row r="147" spans="1:10" s="6" customFormat="1" ht="48" x14ac:dyDescent="0.2">
      <c r="A147" s="51" t="s">
        <v>431</v>
      </c>
      <c r="B147" s="34" t="s">
        <v>24</v>
      </c>
      <c r="C147" s="35" t="s">
        <v>432</v>
      </c>
      <c r="D147" s="36" t="s">
        <v>433</v>
      </c>
      <c r="E147" s="40" t="s">
        <v>16</v>
      </c>
      <c r="F147" s="37">
        <v>24.21</v>
      </c>
      <c r="G147" s="73">
        <v>20</v>
      </c>
      <c r="H147" s="60">
        <f t="shared" si="16"/>
        <v>31.693310999999998</v>
      </c>
      <c r="I147" s="39">
        <f t="shared" si="17"/>
        <v>633.86622</v>
      </c>
      <c r="J147" s="30" t="s">
        <v>306</v>
      </c>
    </row>
    <row r="148" spans="1:10" s="6" customFormat="1" ht="48" x14ac:dyDescent="0.2">
      <c r="A148" s="51" t="s">
        <v>434</v>
      </c>
      <c r="B148" s="34" t="s">
        <v>24</v>
      </c>
      <c r="C148" s="35" t="s">
        <v>435</v>
      </c>
      <c r="D148" s="36" t="s">
        <v>436</v>
      </c>
      <c r="E148" s="40" t="s">
        <v>16</v>
      </c>
      <c r="F148" s="37">
        <v>38.54</v>
      </c>
      <c r="G148" s="73">
        <v>27</v>
      </c>
      <c r="H148" s="60">
        <f t="shared" si="16"/>
        <v>50.452713999999993</v>
      </c>
      <c r="I148" s="39">
        <f t="shared" si="17"/>
        <v>1362.2232779999997</v>
      </c>
      <c r="J148" s="30" t="s">
        <v>306</v>
      </c>
    </row>
    <row r="149" spans="1:10" s="6" customFormat="1" ht="24" x14ac:dyDescent="0.2">
      <c r="A149" s="51" t="s">
        <v>437</v>
      </c>
      <c r="B149" s="34" t="s">
        <v>24</v>
      </c>
      <c r="C149" s="35" t="s">
        <v>438</v>
      </c>
      <c r="D149" s="36" t="s">
        <v>439</v>
      </c>
      <c r="E149" s="40" t="s">
        <v>16</v>
      </c>
      <c r="F149" s="37">
        <v>41.44</v>
      </c>
      <c r="G149" s="73">
        <v>2</v>
      </c>
      <c r="H149" s="60">
        <f t="shared" si="16"/>
        <v>54.249103999999996</v>
      </c>
      <c r="I149" s="39">
        <f t="shared" si="17"/>
        <v>108.49820799999999</v>
      </c>
      <c r="J149" s="30" t="s">
        <v>306</v>
      </c>
    </row>
    <row r="150" spans="1:10" s="6" customFormat="1" ht="24" x14ac:dyDescent="0.2">
      <c r="A150" s="51" t="s">
        <v>440</v>
      </c>
      <c r="B150" s="34" t="s">
        <v>24</v>
      </c>
      <c r="C150" s="35" t="s">
        <v>441</v>
      </c>
      <c r="D150" s="36" t="s">
        <v>442</v>
      </c>
      <c r="E150" s="40" t="s">
        <v>16</v>
      </c>
      <c r="F150" s="37">
        <v>47.12</v>
      </c>
      <c r="G150" s="73">
        <v>1</v>
      </c>
      <c r="H150" s="60">
        <f t="shared" si="16"/>
        <v>61.684791999999995</v>
      </c>
      <c r="I150" s="39">
        <f t="shared" si="17"/>
        <v>61.684791999999995</v>
      </c>
      <c r="J150" s="30" t="s">
        <v>306</v>
      </c>
    </row>
    <row r="151" spans="1:10" s="6" customFormat="1" ht="12.75" x14ac:dyDescent="0.2">
      <c r="A151" s="51" t="s">
        <v>443</v>
      </c>
      <c r="B151" s="34" t="s">
        <v>24</v>
      </c>
      <c r="C151" s="35" t="s">
        <v>444</v>
      </c>
      <c r="D151" s="36" t="s">
        <v>445</v>
      </c>
      <c r="E151" s="40" t="s">
        <v>16</v>
      </c>
      <c r="F151" s="37">
        <v>345.19</v>
      </c>
      <c r="G151" s="73">
        <v>2</v>
      </c>
      <c r="H151" s="60">
        <f t="shared" si="16"/>
        <v>451.88822899999997</v>
      </c>
      <c r="I151" s="39">
        <f t="shared" si="17"/>
        <v>903.77645799999993</v>
      </c>
      <c r="J151" s="30" t="s">
        <v>306</v>
      </c>
    </row>
    <row r="152" spans="1:10" s="6" customFormat="1" ht="12.75" x14ac:dyDescent="0.2">
      <c r="A152" s="51" t="s">
        <v>446</v>
      </c>
      <c r="B152" s="34" t="s">
        <v>24</v>
      </c>
      <c r="C152" s="35" t="s">
        <v>447</v>
      </c>
      <c r="D152" s="36" t="s">
        <v>448</v>
      </c>
      <c r="E152" s="40" t="s">
        <v>16</v>
      </c>
      <c r="F152" s="37">
        <v>93.81</v>
      </c>
      <c r="G152" s="73">
        <v>3</v>
      </c>
      <c r="H152" s="60">
        <f t="shared" si="16"/>
        <v>122.80667099999999</v>
      </c>
      <c r="I152" s="39">
        <f t="shared" si="17"/>
        <v>368.42001299999998</v>
      </c>
      <c r="J152" s="30" t="s">
        <v>306</v>
      </c>
    </row>
    <row r="153" spans="1:10" s="6" customFormat="1" ht="12.75" x14ac:dyDescent="0.2">
      <c r="A153" s="51" t="s">
        <v>449</v>
      </c>
      <c r="B153" s="34" t="s">
        <v>24</v>
      </c>
      <c r="C153" s="35" t="s">
        <v>450</v>
      </c>
      <c r="D153" s="36" t="s">
        <v>451</v>
      </c>
      <c r="E153" s="40" t="s">
        <v>16</v>
      </c>
      <c r="F153" s="37">
        <v>118.44</v>
      </c>
      <c r="G153" s="73">
        <v>3</v>
      </c>
      <c r="H153" s="60">
        <f t="shared" si="16"/>
        <v>155.04980399999999</v>
      </c>
      <c r="I153" s="39">
        <f t="shared" si="17"/>
        <v>465.14941199999998</v>
      </c>
      <c r="J153" s="30" t="s">
        <v>306</v>
      </c>
    </row>
    <row r="154" spans="1:10" s="6" customFormat="1" ht="12.75" x14ac:dyDescent="0.2">
      <c r="A154" s="51" t="s">
        <v>452</v>
      </c>
      <c r="B154" s="34" t="s">
        <v>24</v>
      </c>
      <c r="C154" s="35" t="s">
        <v>453</v>
      </c>
      <c r="D154" s="36" t="s">
        <v>454</v>
      </c>
      <c r="E154" s="40" t="s">
        <v>16</v>
      </c>
      <c r="F154" s="37">
        <v>21.73</v>
      </c>
      <c r="G154" s="73">
        <v>9</v>
      </c>
      <c r="H154" s="60">
        <f t="shared" si="16"/>
        <v>28.446742999999998</v>
      </c>
      <c r="I154" s="39">
        <f t="shared" si="17"/>
        <v>256.02068699999995</v>
      </c>
      <c r="J154" s="30" t="s">
        <v>306</v>
      </c>
    </row>
    <row r="155" spans="1:10" s="6" customFormat="1" ht="12.75" x14ac:dyDescent="0.2">
      <c r="A155" s="51" t="s">
        <v>455</v>
      </c>
      <c r="B155" s="34" t="s">
        <v>24</v>
      </c>
      <c r="C155" s="35" t="s">
        <v>456</v>
      </c>
      <c r="D155" s="36" t="s">
        <v>457</v>
      </c>
      <c r="E155" s="40" t="s">
        <v>16</v>
      </c>
      <c r="F155" s="37">
        <v>21.73</v>
      </c>
      <c r="G155" s="73">
        <v>3</v>
      </c>
      <c r="H155" s="60">
        <f t="shared" si="16"/>
        <v>28.446742999999998</v>
      </c>
      <c r="I155" s="39">
        <f t="shared" si="17"/>
        <v>85.340228999999994</v>
      </c>
      <c r="J155" s="30" t="s">
        <v>306</v>
      </c>
    </row>
    <row r="156" spans="1:10" s="6" customFormat="1" ht="12.75" x14ac:dyDescent="0.2">
      <c r="A156" s="51" t="s">
        <v>458</v>
      </c>
      <c r="B156" s="34" t="s">
        <v>24</v>
      </c>
      <c r="C156" s="35" t="s">
        <v>459</v>
      </c>
      <c r="D156" s="36" t="s">
        <v>460</v>
      </c>
      <c r="E156" s="40" t="s">
        <v>16</v>
      </c>
      <c r="F156" s="37">
        <v>21.73</v>
      </c>
      <c r="G156" s="73">
        <v>1</v>
      </c>
      <c r="H156" s="60">
        <f t="shared" si="16"/>
        <v>28.446742999999998</v>
      </c>
      <c r="I156" s="39">
        <f t="shared" si="17"/>
        <v>28.446742999999998</v>
      </c>
      <c r="J156" s="30" t="s">
        <v>306</v>
      </c>
    </row>
    <row r="157" spans="1:10" s="6" customFormat="1" ht="12.75" x14ac:dyDescent="0.2">
      <c r="A157" s="51" t="s">
        <v>461</v>
      </c>
      <c r="B157" s="34" t="s">
        <v>24</v>
      </c>
      <c r="C157" s="35" t="s">
        <v>462</v>
      </c>
      <c r="D157" s="36" t="s">
        <v>463</v>
      </c>
      <c r="E157" s="40" t="s">
        <v>16</v>
      </c>
      <c r="F157" s="37">
        <v>50.33</v>
      </c>
      <c r="G157" s="73">
        <v>1</v>
      </c>
      <c r="H157" s="60">
        <f t="shared" si="16"/>
        <v>65.887002999999993</v>
      </c>
      <c r="I157" s="39">
        <f t="shared" si="17"/>
        <v>65.887002999999993</v>
      </c>
      <c r="J157" s="30" t="s">
        <v>306</v>
      </c>
    </row>
    <row r="158" spans="1:10" s="6" customFormat="1" ht="12.75" x14ac:dyDescent="0.2">
      <c r="A158" s="51" t="s">
        <v>464</v>
      </c>
      <c r="B158" s="34" t="s">
        <v>24</v>
      </c>
      <c r="C158" s="35" t="s">
        <v>465</v>
      </c>
      <c r="D158" s="36" t="s">
        <v>466</v>
      </c>
      <c r="E158" s="40" t="s">
        <v>16</v>
      </c>
      <c r="F158" s="37">
        <v>50.33</v>
      </c>
      <c r="G158" s="73">
        <v>3</v>
      </c>
      <c r="H158" s="60">
        <f t="shared" si="16"/>
        <v>65.887002999999993</v>
      </c>
      <c r="I158" s="39">
        <f t="shared" si="17"/>
        <v>197.66100899999998</v>
      </c>
      <c r="J158" s="30" t="s">
        <v>306</v>
      </c>
    </row>
    <row r="159" spans="1:10" s="6" customFormat="1" ht="12.75" x14ac:dyDescent="0.2">
      <c r="A159" s="51" t="s">
        <v>467</v>
      </c>
      <c r="B159" s="34" t="s">
        <v>24</v>
      </c>
      <c r="C159" s="35" t="s">
        <v>468</v>
      </c>
      <c r="D159" s="36" t="s">
        <v>469</v>
      </c>
      <c r="E159" s="40" t="s">
        <v>16</v>
      </c>
      <c r="F159" s="37">
        <v>50.33</v>
      </c>
      <c r="G159" s="73">
        <v>1</v>
      </c>
      <c r="H159" s="60">
        <f t="shared" si="16"/>
        <v>65.887002999999993</v>
      </c>
      <c r="I159" s="39">
        <f t="shared" si="17"/>
        <v>65.887002999999993</v>
      </c>
      <c r="J159" s="30" t="s">
        <v>306</v>
      </c>
    </row>
    <row r="160" spans="1:10" s="6" customFormat="1" ht="12.75" x14ac:dyDescent="0.2">
      <c r="A160" s="51" t="s">
        <v>470</v>
      </c>
      <c r="B160" s="34" t="s">
        <v>24</v>
      </c>
      <c r="C160" s="35" t="s">
        <v>471</v>
      </c>
      <c r="D160" s="36" t="s">
        <v>472</v>
      </c>
      <c r="E160" s="40" t="s">
        <v>16</v>
      </c>
      <c r="F160" s="37">
        <v>50.33</v>
      </c>
      <c r="G160" s="73">
        <v>1</v>
      </c>
      <c r="H160" s="60">
        <f t="shared" si="16"/>
        <v>65.887002999999993</v>
      </c>
      <c r="I160" s="39">
        <f t="shared" si="17"/>
        <v>65.887002999999993</v>
      </c>
      <c r="J160" s="30" t="s">
        <v>306</v>
      </c>
    </row>
    <row r="161" spans="1:10" s="6" customFormat="1" ht="12.75" x14ac:dyDescent="0.2">
      <c r="A161" s="51" t="s">
        <v>473</v>
      </c>
      <c r="B161" s="34" t="s">
        <v>24</v>
      </c>
      <c r="C161" s="35" t="s">
        <v>474</v>
      </c>
      <c r="D161" s="36" t="s">
        <v>475</v>
      </c>
      <c r="E161" s="40" t="s">
        <v>16</v>
      </c>
      <c r="F161" s="37">
        <v>50.33</v>
      </c>
      <c r="G161" s="73">
        <v>5</v>
      </c>
      <c r="H161" s="60">
        <f t="shared" si="16"/>
        <v>65.887002999999993</v>
      </c>
      <c r="I161" s="39">
        <f t="shared" si="17"/>
        <v>329.43501499999996</v>
      </c>
      <c r="J161" s="30" t="s">
        <v>306</v>
      </c>
    </row>
    <row r="162" spans="1:10" s="6" customFormat="1" ht="12.75" x14ac:dyDescent="0.2">
      <c r="A162" s="51" t="s">
        <v>476</v>
      </c>
      <c r="B162" s="34" t="s">
        <v>24</v>
      </c>
      <c r="C162" s="35" t="s">
        <v>477</v>
      </c>
      <c r="D162" s="36" t="s">
        <v>478</v>
      </c>
      <c r="E162" s="40" t="s">
        <v>16</v>
      </c>
      <c r="F162" s="37">
        <v>50.33</v>
      </c>
      <c r="G162" s="73">
        <v>2</v>
      </c>
      <c r="H162" s="60">
        <f t="shared" si="16"/>
        <v>65.887002999999993</v>
      </c>
      <c r="I162" s="39">
        <f t="shared" si="17"/>
        <v>131.77400599999999</v>
      </c>
      <c r="J162" s="30" t="s">
        <v>306</v>
      </c>
    </row>
    <row r="163" spans="1:10" s="6" customFormat="1" ht="24" x14ac:dyDescent="0.2">
      <c r="A163" s="51" t="s">
        <v>479</v>
      </c>
      <c r="B163" s="34" t="s">
        <v>24</v>
      </c>
      <c r="C163" s="35" t="s">
        <v>480</v>
      </c>
      <c r="D163" s="36" t="s">
        <v>481</v>
      </c>
      <c r="E163" s="40" t="s">
        <v>16</v>
      </c>
      <c r="F163" s="37">
        <v>297.45999999999998</v>
      </c>
      <c r="G163" s="73">
        <v>4</v>
      </c>
      <c r="H163" s="60">
        <f t="shared" si="16"/>
        <v>389.40488599999998</v>
      </c>
      <c r="I163" s="39">
        <f t="shared" si="17"/>
        <v>1557.6195439999999</v>
      </c>
      <c r="J163" s="30" t="s">
        <v>306</v>
      </c>
    </row>
    <row r="164" spans="1:10" s="6" customFormat="1" ht="48" x14ac:dyDescent="0.2">
      <c r="A164" s="51" t="s">
        <v>482</v>
      </c>
      <c r="B164" s="34" t="s">
        <v>24</v>
      </c>
      <c r="C164" s="35" t="s">
        <v>483</v>
      </c>
      <c r="D164" s="36" t="s">
        <v>484</v>
      </c>
      <c r="E164" s="40" t="s">
        <v>16</v>
      </c>
      <c r="F164" s="37">
        <v>158.94</v>
      </c>
      <c r="G164" s="73">
        <v>2</v>
      </c>
      <c r="H164" s="60">
        <f t="shared" si="16"/>
        <v>208.068354</v>
      </c>
      <c r="I164" s="39">
        <f t="shared" si="17"/>
        <v>416.136708</v>
      </c>
      <c r="J164" s="30" t="s">
        <v>306</v>
      </c>
    </row>
    <row r="165" spans="1:10" s="6" customFormat="1" ht="24" x14ac:dyDescent="0.2">
      <c r="A165" s="51" t="s">
        <v>485</v>
      </c>
      <c r="B165" s="34" t="s">
        <v>24</v>
      </c>
      <c r="C165" s="35" t="s">
        <v>486</v>
      </c>
      <c r="D165" s="36" t="s">
        <v>487</v>
      </c>
      <c r="E165" s="35" t="s">
        <v>43</v>
      </c>
      <c r="F165" s="37">
        <v>5.86</v>
      </c>
      <c r="G165" s="73"/>
      <c r="H165" s="60">
        <f t="shared" si="16"/>
        <v>7.6713259999999996</v>
      </c>
      <c r="I165" s="39">
        <f t="shared" si="17"/>
        <v>0</v>
      </c>
      <c r="J165" s="30" t="s">
        <v>379</v>
      </c>
    </row>
    <row r="166" spans="1:10" s="6" customFormat="1" ht="24" x14ac:dyDescent="0.2">
      <c r="A166" s="51" t="s">
        <v>488</v>
      </c>
      <c r="B166" s="34" t="s">
        <v>24</v>
      </c>
      <c r="C166" s="35" t="s">
        <v>489</v>
      </c>
      <c r="D166" s="36" t="s">
        <v>490</v>
      </c>
      <c r="E166" s="35" t="s">
        <v>43</v>
      </c>
      <c r="F166" s="37">
        <v>7.65</v>
      </c>
      <c r="G166" s="73"/>
      <c r="H166" s="60">
        <f t="shared" si="16"/>
        <v>10.014614999999999</v>
      </c>
      <c r="I166" s="39">
        <f t="shared" si="17"/>
        <v>0</v>
      </c>
      <c r="J166" s="30" t="s">
        <v>379</v>
      </c>
    </row>
    <row r="167" spans="1:10" s="6" customFormat="1" ht="24" x14ac:dyDescent="0.2">
      <c r="A167" s="51" t="s">
        <v>491</v>
      </c>
      <c r="B167" s="34" t="s">
        <v>24</v>
      </c>
      <c r="C167" s="35" t="s">
        <v>492</v>
      </c>
      <c r="D167" s="36" t="s">
        <v>493</v>
      </c>
      <c r="E167" s="35" t="s">
        <v>43</v>
      </c>
      <c r="F167" s="37">
        <v>35.64</v>
      </c>
      <c r="G167" s="73">
        <v>3.96</v>
      </c>
      <c r="H167" s="60">
        <f t="shared" si="16"/>
        <v>46.656323999999998</v>
      </c>
      <c r="I167" s="39">
        <f t="shared" si="17"/>
        <v>184.75904303999999</v>
      </c>
      <c r="J167" s="30" t="s">
        <v>306</v>
      </c>
    </row>
    <row r="168" spans="1:10" s="6" customFormat="1" ht="24" x14ac:dyDescent="0.2">
      <c r="A168" s="51" t="s">
        <v>494</v>
      </c>
      <c r="B168" s="34" t="s">
        <v>24</v>
      </c>
      <c r="C168" s="35" t="s">
        <v>495</v>
      </c>
      <c r="D168" s="36" t="s">
        <v>496</v>
      </c>
      <c r="E168" s="35" t="s">
        <v>43</v>
      </c>
      <c r="F168" s="37">
        <v>36.909999999999997</v>
      </c>
      <c r="G168" s="73">
        <v>1.8</v>
      </c>
      <c r="H168" s="60">
        <f t="shared" si="16"/>
        <v>48.31888099999999</v>
      </c>
      <c r="I168" s="39">
        <f t="shared" si="17"/>
        <v>86.97398579999998</v>
      </c>
      <c r="J168" s="30" t="s">
        <v>306</v>
      </c>
    </row>
    <row r="169" spans="1:10" s="6" customFormat="1" ht="24" x14ac:dyDescent="0.2">
      <c r="A169" s="51" t="s">
        <v>497</v>
      </c>
      <c r="B169" s="34" t="s">
        <v>24</v>
      </c>
      <c r="C169" s="35" t="s">
        <v>498</v>
      </c>
      <c r="D169" s="36" t="s">
        <v>499</v>
      </c>
      <c r="E169" s="35" t="s">
        <v>43</v>
      </c>
      <c r="F169" s="37">
        <v>46.35</v>
      </c>
      <c r="G169" s="73">
        <v>6.28</v>
      </c>
      <c r="H169" s="60">
        <f t="shared" si="16"/>
        <v>60.676784999999995</v>
      </c>
      <c r="I169" s="39">
        <f t="shared" si="17"/>
        <v>381.0502098</v>
      </c>
      <c r="J169" s="30" t="s">
        <v>306</v>
      </c>
    </row>
    <row r="170" spans="1:10" s="6" customFormat="1" ht="24" x14ac:dyDescent="0.2">
      <c r="A170" s="51" t="s">
        <v>500</v>
      </c>
      <c r="B170" s="34" t="s">
        <v>24</v>
      </c>
      <c r="C170" s="35" t="s">
        <v>501</v>
      </c>
      <c r="D170" s="36" t="s">
        <v>502</v>
      </c>
      <c r="E170" s="35" t="s">
        <v>43</v>
      </c>
      <c r="F170" s="37">
        <v>66.680000000000007</v>
      </c>
      <c r="G170" s="73">
        <v>26.25</v>
      </c>
      <c r="H170" s="60">
        <f t="shared" si="16"/>
        <v>87.290788000000006</v>
      </c>
      <c r="I170" s="39">
        <f t="shared" si="17"/>
        <v>2291.3831850000001</v>
      </c>
      <c r="J170" s="30" t="s">
        <v>306</v>
      </c>
    </row>
    <row r="171" spans="1:10" s="6" customFormat="1" ht="24" x14ac:dyDescent="0.2">
      <c r="A171" s="51" t="s">
        <v>503</v>
      </c>
      <c r="B171" s="34" t="s">
        <v>24</v>
      </c>
      <c r="C171" s="35" t="s">
        <v>504</v>
      </c>
      <c r="D171" s="36" t="s">
        <v>505</v>
      </c>
      <c r="E171" s="35" t="s">
        <v>43</v>
      </c>
      <c r="F171" s="37">
        <v>72.319999999999993</v>
      </c>
      <c r="G171" s="73">
        <v>16.2</v>
      </c>
      <c r="H171" s="60">
        <f t="shared" si="16"/>
        <v>94.67411199999998</v>
      </c>
      <c r="I171" s="39">
        <f t="shared" si="17"/>
        <v>1533.7206143999997</v>
      </c>
      <c r="J171" s="30" t="s">
        <v>306</v>
      </c>
    </row>
    <row r="172" spans="1:10" s="6" customFormat="1" ht="24" x14ac:dyDescent="0.2">
      <c r="A172" s="51" t="s">
        <v>506</v>
      </c>
      <c r="B172" s="34" t="s">
        <v>24</v>
      </c>
      <c r="C172" s="35" t="s">
        <v>507</v>
      </c>
      <c r="D172" s="36" t="s">
        <v>508</v>
      </c>
      <c r="E172" s="35" t="s">
        <v>43</v>
      </c>
      <c r="F172" s="37">
        <v>20.190000000000001</v>
      </c>
      <c r="G172" s="73">
        <v>1</v>
      </c>
      <c r="H172" s="60">
        <f t="shared" si="16"/>
        <v>26.430728999999999</v>
      </c>
      <c r="I172" s="39">
        <f t="shared" si="17"/>
        <v>26.430728999999999</v>
      </c>
      <c r="J172" s="30" t="s">
        <v>306</v>
      </c>
    </row>
    <row r="173" spans="1:10" s="6" customFormat="1" ht="24" x14ac:dyDescent="0.2">
      <c r="A173" s="51" t="s">
        <v>509</v>
      </c>
      <c r="B173" s="34" t="s">
        <v>24</v>
      </c>
      <c r="C173" s="35" t="s">
        <v>510</v>
      </c>
      <c r="D173" s="36" t="s">
        <v>511</v>
      </c>
      <c r="E173" s="35" t="s">
        <v>43</v>
      </c>
      <c r="F173" s="37">
        <v>27.05</v>
      </c>
      <c r="G173" s="73">
        <v>2</v>
      </c>
      <c r="H173" s="60">
        <f t="shared" si="16"/>
        <v>35.411155000000001</v>
      </c>
      <c r="I173" s="39">
        <f t="shared" si="17"/>
        <v>70.822310000000002</v>
      </c>
      <c r="J173" s="30" t="s">
        <v>306</v>
      </c>
    </row>
    <row r="174" spans="1:10" s="6" customFormat="1" ht="24" x14ac:dyDescent="0.2">
      <c r="A174" s="51" t="s">
        <v>512</v>
      </c>
      <c r="B174" s="34" t="s">
        <v>24</v>
      </c>
      <c r="C174" s="35" t="s">
        <v>513</v>
      </c>
      <c r="D174" s="36" t="s">
        <v>514</v>
      </c>
      <c r="E174" s="35" t="s">
        <v>43</v>
      </c>
      <c r="F174" s="37">
        <v>40.94</v>
      </c>
      <c r="G174" s="73">
        <v>3.9</v>
      </c>
      <c r="H174" s="60">
        <f t="shared" si="16"/>
        <v>53.594553999999995</v>
      </c>
      <c r="I174" s="39">
        <f t="shared" si="17"/>
        <v>209.01876059999998</v>
      </c>
      <c r="J174" s="30" t="s">
        <v>306</v>
      </c>
    </row>
    <row r="175" spans="1:10" s="6" customFormat="1" ht="36" x14ac:dyDescent="0.2">
      <c r="A175" s="51" t="s">
        <v>515</v>
      </c>
      <c r="B175" s="34" t="s">
        <v>24</v>
      </c>
      <c r="C175" s="35" t="s">
        <v>516</v>
      </c>
      <c r="D175" s="36" t="s">
        <v>517</v>
      </c>
      <c r="E175" s="40" t="s">
        <v>16</v>
      </c>
      <c r="F175" s="37">
        <v>72.8</v>
      </c>
      <c r="G175" s="73">
        <v>21</v>
      </c>
      <c r="H175" s="60">
        <f t="shared" si="16"/>
        <v>95.302479999999989</v>
      </c>
      <c r="I175" s="39">
        <f t="shared" si="17"/>
        <v>2001.3520799999997</v>
      </c>
      <c r="J175" s="30" t="s">
        <v>306</v>
      </c>
    </row>
    <row r="176" spans="1:10" s="6" customFormat="1" ht="48" x14ac:dyDescent="0.2">
      <c r="A176" s="51" t="s">
        <v>518</v>
      </c>
      <c r="B176" s="34" t="s">
        <v>24</v>
      </c>
      <c r="C176" s="35" t="s">
        <v>519</v>
      </c>
      <c r="D176" s="36" t="s">
        <v>520</v>
      </c>
      <c r="E176" s="40" t="s">
        <v>16</v>
      </c>
      <c r="F176" s="37">
        <v>395.49</v>
      </c>
      <c r="G176" s="73">
        <v>8</v>
      </c>
      <c r="H176" s="60">
        <f t="shared" si="16"/>
        <v>517.73595899999998</v>
      </c>
      <c r="I176" s="39">
        <f t="shared" si="17"/>
        <v>4141.8876719999998</v>
      </c>
      <c r="J176" s="30" t="s">
        <v>306</v>
      </c>
    </row>
    <row r="177" spans="1:10" s="6" customFormat="1" ht="48" x14ac:dyDescent="0.2">
      <c r="A177" s="51" t="s">
        <v>521</v>
      </c>
      <c r="B177" s="34" t="s">
        <v>24</v>
      </c>
      <c r="C177" s="35" t="s">
        <v>522</v>
      </c>
      <c r="D177" s="36" t="s">
        <v>523</v>
      </c>
      <c r="E177" s="40" t="s">
        <v>16</v>
      </c>
      <c r="F177" s="37">
        <v>487.44</v>
      </c>
      <c r="G177" s="73">
        <v>17</v>
      </c>
      <c r="H177" s="60">
        <f t="shared" si="16"/>
        <v>638.10770400000001</v>
      </c>
      <c r="I177" s="39">
        <f t="shared" si="17"/>
        <v>10847.830968</v>
      </c>
      <c r="J177" s="30" t="s">
        <v>306</v>
      </c>
    </row>
    <row r="178" spans="1:10" s="6" customFormat="1" ht="48" x14ac:dyDescent="0.2">
      <c r="A178" s="51" t="s">
        <v>524</v>
      </c>
      <c r="B178" s="34" t="s">
        <v>24</v>
      </c>
      <c r="C178" s="35" t="s">
        <v>525</v>
      </c>
      <c r="D178" s="36" t="s">
        <v>526</v>
      </c>
      <c r="E178" s="40" t="s">
        <v>16</v>
      </c>
      <c r="F178" s="37">
        <v>495.75</v>
      </c>
      <c r="G178" s="73">
        <v>66</v>
      </c>
      <c r="H178" s="60">
        <f t="shared" si="16"/>
        <v>648.98632499999997</v>
      </c>
      <c r="I178" s="39">
        <f t="shared" si="17"/>
        <v>42833.097450000001</v>
      </c>
      <c r="J178" s="30" t="s">
        <v>306</v>
      </c>
    </row>
    <row r="179" spans="1:10" s="6" customFormat="1" ht="48" x14ac:dyDescent="0.2">
      <c r="A179" s="51" t="s">
        <v>527</v>
      </c>
      <c r="B179" s="34" t="s">
        <v>24</v>
      </c>
      <c r="C179" s="35" t="s">
        <v>528</v>
      </c>
      <c r="D179" s="36" t="s">
        <v>529</v>
      </c>
      <c r="E179" s="40" t="s">
        <v>16</v>
      </c>
      <c r="F179" s="37">
        <v>59.33</v>
      </c>
      <c r="G179" s="73">
        <v>24</v>
      </c>
      <c r="H179" s="60">
        <f t="shared" si="16"/>
        <v>77.668903</v>
      </c>
      <c r="I179" s="39">
        <f t="shared" si="17"/>
        <v>1864.053672</v>
      </c>
      <c r="J179" s="30" t="s">
        <v>306</v>
      </c>
    </row>
    <row r="180" spans="1:10" s="6" customFormat="1" ht="36" x14ac:dyDescent="0.2">
      <c r="A180" s="51" t="s">
        <v>530</v>
      </c>
      <c r="B180" s="34" t="s">
        <v>24</v>
      </c>
      <c r="C180" s="35" t="s">
        <v>531</v>
      </c>
      <c r="D180" s="36" t="s">
        <v>532</v>
      </c>
      <c r="E180" s="40" t="s">
        <v>16</v>
      </c>
      <c r="F180" s="37">
        <v>651.73</v>
      </c>
      <c r="G180" s="73">
        <v>1</v>
      </c>
      <c r="H180" s="60">
        <f t="shared" si="16"/>
        <v>853.17974300000003</v>
      </c>
      <c r="I180" s="39">
        <f t="shared" si="17"/>
        <v>853.17974300000003</v>
      </c>
      <c r="J180" s="30" t="s">
        <v>306</v>
      </c>
    </row>
    <row r="181" spans="1:10" s="6" customFormat="1" ht="24" x14ac:dyDescent="0.2">
      <c r="A181" s="51" t="s">
        <v>533</v>
      </c>
      <c r="B181" s="34" t="s">
        <v>24</v>
      </c>
      <c r="C181" s="35" t="s">
        <v>534</v>
      </c>
      <c r="D181" s="36" t="s">
        <v>535</v>
      </c>
      <c r="E181" s="40" t="s">
        <v>16</v>
      </c>
      <c r="F181" s="37">
        <v>1079.19</v>
      </c>
      <c r="G181" s="73">
        <v>1</v>
      </c>
      <c r="H181" s="60">
        <f t="shared" si="16"/>
        <v>1412.7676289999999</v>
      </c>
      <c r="I181" s="39">
        <f t="shared" si="17"/>
        <v>1412.7676289999999</v>
      </c>
      <c r="J181" s="30" t="s">
        <v>306</v>
      </c>
    </row>
    <row r="182" spans="1:10" s="6" customFormat="1" ht="24" x14ac:dyDescent="0.2">
      <c r="A182" s="51" t="s">
        <v>536</v>
      </c>
      <c r="B182" s="34" t="s">
        <v>24</v>
      </c>
      <c r="C182" s="35" t="s">
        <v>537</v>
      </c>
      <c r="D182" s="36" t="s">
        <v>538</v>
      </c>
      <c r="E182" s="40" t="s">
        <v>16</v>
      </c>
      <c r="F182" s="37">
        <v>194.15</v>
      </c>
      <c r="G182" s="73">
        <v>1</v>
      </c>
      <c r="H182" s="60">
        <f t="shared" si="16"/>
        <v>254.161765</v>
      </c>
      <c r="I182" s="39">
        <f t="shared" si="17"/>
        <v>254.161765</v>
      </c>
      <c r="J182" s="30" t="s">
        <v>306</v>
      </c>
    </row>
    <row r="183" spans="1:10" s="6" customFormat="1" ht="24" x14ac:dyDescent="0.2">
      <c r="A183" s="51" t="s">
        <v>539</v>
      </c>
      <c r="B183" s="34" t="s">
        <v>24</v>
      </c>
      <c r="C183" s="35" t="s">
        <v>540</v>
      </c>
      <c r="D183" s="36" t="s">
        <v>541</v>
      </c>
      <c r="E183" s="40" t="s">
        <v>16</v>
      </c>
      <c r="F183" s="37">
        <v>365.59</v>
      </c>
      <c r="G183" s="73">
        <v>2</v>
      </c>
      <c r="H183" s="60">
        <f t="shared" si="16"/>
        <v>478.59386899999993</v>
      </c>
      <c r="I183" s="39">
        <f t="shared" si="17"/>
        <v>957.18773799999985</v>
      </c>
      <c r="J183" s="30" t="s">
        <v>306</v>
      </c>
    </row>
    <row r="184" spans="1:10" ht="12.75" x14ac:dyDescent="0.2">
      <c r="A184" s="34"/>
      <c r="B184" s="34"/>
      <c r="C184" s="34"/>
      <c r="D184" s="45" t="s">
        <v>52</v>
      </c>
      <c r="E184" s="74"/>
      <c r="F184" s="60"/>
      <c r="G184" s="60"/>
      <c r="H184" s="60"/>
      <c r="I184" s="70">
        <f>SUM(I129:I183)</f>
        <v>129295.51838840001</v>
      </c>
      <c r="J184" s="30"/>
    </row>
    <row r="185" spans="1:10" ht="12.75" x14ac:dyDescent="0.2">
      <c r="A185" s="31">
        <v>14</v>
      </c>
      <c r="B185" s="31"/>
      <c r="C185" s="55"/>
      <c r="D185" s="48" t="s">
        <v>542</v>
      </c>
      <c r="E185" s="49"/>
      <c r="F185" s="50"/>
      <c r="G185" s="50"/>
      <c r="H185" s="50"/>
      <c r="I185" s="50"/>
      <c r="J185" s="30"/>
    </row>
    <row r="186" spans="1:10" ht="36" x14ac:dyDescent="0.2">
      <c r="A186" s="34" t="s">
        <v>543</v>
      </c>
      <c r="B186" s="34" t="s">
        <v>24</v>
      </c>
      <c r="C186" s="35" t="s">
        <v>544</v>
      </c>
      <c r="D186" s="36" t="s">
        <v>545</v>
      </c>
      <c r="E186" s="40" t="s">
        <v>16</v>
      </c>
      <c r="F186" s="37">
        <v>99.08</v>
      </c>
      <c r="G186" s="60">
        <v>24</v>
      </c>
      <c r="H186" s="60">
        <f t="shared" ref="H186:H191" si="18">F186*(1+$H$8)</f>
        <v>129.70562799999999</v>
      </c>
      <c r="I186" s="39">
        <f t="shared" ref="I186:I191" si="19">G186*H186</f>
        <v>3112.9350719999998</v>
      </c>
      <c r="J186" s="30" t="s">
        <v>306</v>
      </c>
    </row>
    <row r="187" spans="1:10" ht="24" x14ac:dyDescent="0.2">
      <c r="A187" s="34" t="s">
        <v>546</v>
      </c>
      <c r="B187" s="34" t="s">
        <v>24</v>
      </c>
      <c r="C187" s="35" t="s">
        <v>547</v>
      </c>
      <c r="D187" s="36" t="s">
        <v>548</v>
      </c>
      <c r="E187" s="40" t="s">
        <v>16</v>
      </c>
      <c r="F187" s="37">
        <v>186.87</v>
      </c>
      <c r="G187" s="60">
        <v>24</v>
      </c>
      <c r="H187" s="60">
        <f t="shared" si="18"/>
        <v>244.631517</v>
      </c>
      <c r="I187" s="39">
        <f t="shared" si="19"/>
        <v>5871.1564079999998</v>
      </c>
      <c r="J187" s="30" t="s">
        <v>306</v>
      </c>
    </row>
    <row r="188" spans="1:10" ht="36" x14ac:dyDescent="0.2">
      <c r="A188" s="34" t="s">
        <v>549</v>
      </c>
      <c r="B188" s="34" t="s">
        <v>24</v>
      </c>
      <c r="C188" s="35" t="s">
        <v>550</v>
      </c>
      <c r="D188" s="36" t="s">
        <v>551</v>
      </c>
      <c r="E188" s="35" t="s">
        <v>43</v>
      </c>
      <c r="F188" s="37">
        <v>61.82</v>
      </c>
      <c r="G188" s="60">
        <v>140.5</v>
      </c>
      <c r="H188" s="60">
        <f t="shared" si="18"/>
        <v>80.928561999999999</v>
      </c>
      <c r="I188" s="39">
        <f t="shared" si="19"/>
        <v>11370.462960999999</v>
      </c>
      <c r="J188" s="30" t="s">
        <v>306</v>
      </c>
    </row>
    <row r="189" spans="1:10" ht="36" x14ac:dyDescent="0.2">
      <c r="A189" s="34" t="s">
        <v>552</v>
      </c>
      <c r="B189" s="34" t="s">
        <v>24</v>
      </c>
      <c r="C189" s="35" t="s">
        <v>553</v>
      </c>
      <c r="D189" s="36" t="s">
        <v>554</v>
      </c>
      <c r="E189" s="35" t="s">
        <v>43</v>
      </c>
      <c r="F189" s="37">
        <v>48.47</v>
      </c>
      <c r="G189" s="60">
        <v>64</v>
      </c>
      <c r="H189" s="60">
        <f t="shared" si="18"/>
        <v>63.452076999999996</v>
      </c>
      <c r="I189" s="39">
        <f t="shared" si="19"/>
        <v>4060.9329279999997</v>
      </c>
      <c r="J189" s="30" t="s">
        <v>306</v>
      </c>
    </row>
    <row r="190" spans="1:10" ht="12.75" x14ac:dyDescent="0.2">
      <c r="A190" s="34" t="s">
        <v>555</v>
      </c>
      <c r="B190" s="34" t="s">
        <v>24</v>
      </c>
      <c r="C190" s="35" t="s">
        <v>556</v>
      </c>
      <c r="D190" s="36" t="s">
        <v>557</v>
      </c>
      <c r="E190" s="40" t="s">
        <v>16</v>
      </c>
      <c r="F190" s="37">
        <v>27.51</v>
      </c>
      <c r="G190" s="60">
        <f>366/3</f>
        <v>122</v>
      </c>
      <c r="H190" s="60">
        <f t="shared" si="18"/>
        <v>36.013340999999997</v>
      </c>
      <c r="I190" s="39">
        <f t="shared" si="19"/>
        <v>4393.6276019999996</v>
      </c>
      <c r="J190" s="30" t="s">
        <v>306</v>
      </c>
    </row>
    <row r="191" spans="1:10" ht="24" x14ac:dyDescent="0.2">
      <c r="A191" s="34" t="s">
        <v>558</v>
      </c>
      <c r="B191" s="34" t="s">
        <v>46</v>
      </c>
      <c r="C191" s="41" t="s">
        <v>559</v>
      </c>
      <c r="D191" s="42" t="s">
        <v>560</v>
      </c>
      <c r="E191" s="40" t="s">
        <v>16</v>
      </c>
      <c r="F191" s="60">
        <v>137.30000000000001</v>
      </c>
      <c r="G191" s="60">
        <v>38</v>
      </c>
      <c r="H191" s="60">
        <f t="shared" si="18"/>
        <v>179.73943</v>
      </c>
      <c r="I191" s="39">
        <f t="shared" si="19"/>
        <v>6830.0983399999996</v>
      </c>
      <c r="J191" s="30" t="s">
        <v>306</v>
      </c>
    </row>
    <row r="192" spans="1:10" ht="12.75" x14ac:dyDescent="0.2">
      <c r="A192" s="34"/>
      <c r="B192" s="34"/>
      <c r="C192" s="34"/>
      <c r="D192" s="45" t="s">
        <v>52</v>
      </c>
      <c r="E192" s="74"/>
      <c r="F192" s="60"/>
      <c r="G192" s="60"/>
      <c r="H192" s="60"/>
      <c r="I192" s="70">
        <f>SUM(I186:I191)</f>
        <v>35639.213311</v>
      </c>
      <c r="J192" s="30"/>
    </row>
    <row r="193" spans="1:10" ht="12.75" x14ac:dyDescent="0.2">
      <c r="A193" s="31">
        <v>15</v>
      </c>
      <c r="B193" s="31"/>
      <c r="C193" s="55"/>
      <c r="D193" s="48" t="s">
        <v>561</v>
      </c>
      <c r="E193" s="49"/>
      <c r="F193" s="50"/>
      <c r="G193" s="50"/>
      <c r="H193" s="50"/>
      <c r="I193" s="50"/>
      <c r="J193" s="30"/>
    </row>
    <row r="194" spans="1:10" ht="96" x14ac:dyDescent="0.2">
      <c r="A194" s="34" t="s">
        <v>562</v>
      </c>
      <c r="B194" s="34" t="s">
        <v>24</v>
      </c>
      <c r="C194" s="35" t="s">
        <v>563</v>
      </c>
      <c r="D194" s="36" t="s">
        <v>564</v>
      </c>
      <c r="E194" s="40" t="s">
        <v>16</v>
      </c>
      <c r="F194" s="37">
        <v>142.19</v>
      </c>
      <c r="G194" s="60">
        <v>16</v>
      </c>
      <c r="H194" s="60">
        <f t="shared" ref="H194:H217" si="20">F194*(1+$H$8)</f>
        <v>186.140929</v>
      </c>
      <c r="I194" s="39">
        <f t="shared" ref="I194:I205" si="21">G194*H194</f>
        <v>2978.254864</v>
      </c>
      <c r="J194" s="30" t="s">
        <v>565</v>
      </c>
    </row>
    <row r="195" spans="1:10" ht="36" x14ac:dyDescent="0.2">
      <c r="A195" s="34" t="s">
        <v>566</v>
      </c>
      <c r="B195" s="34" t="s">
        <v>24</v>
      </c>
      <c r="C195" s="35" t="s">
        <v>567</v>
      </c>
      <c r="D195" s="36" t="s">
        <v>568</v>
      </c>
      <c r="E195" s="40" t="s">
        <v>16</v>
      </c>
      <c r="F195" s="37">
        <v>227.39</v>
      </c>
      <c r="G195" s="60">
        <v>3</v>
      </c>
      <c r="H195" s="60">
        <f t="shared" si="20"/>
        <v>297.67624899999998</v>
      </c>
      <c r="I195" s="39">
        <f t="shared" si="21"/>
        <v>893.02874699999995</v>
      </c>
      <c r="J195" s="30" t="s">
        <v>306</v>
      </c>
    </row>
    <row r="196" spans="1:10" ht="24" x14ac:dyDescent="0.2">
      <c r="A196" s="34" t="s">
        <v>569</v>
      </c>
      <c r="B196" s="34" t="s">
        <v>24</v>
      </c>
      <c r="C196" s="35" t="s">
        <v>570</v>
      </c>
      <c r="D196" s="36" t="s">
        <v>571</v>
      </c>
      <c r="E196" s="40" t="s">
        <v>16</v>
      </c>
      <c r="F196" s="37">
        <v>29.04</v>
      </c>
      <c r="G196" s="60">
        <v>13</v>
      </c>
      <c r="H196" s="60">
        <f t="shared" si="20"/>
        <v>38.016264</v>
      </c>
      <c r="I196" s="39">
        <f t="shared" si="21"/>
        <v>494.211432</v>
      </c>
      <c r="J196" s="30" t="s">
        <v>306</v>
      </c>
    </row>
    <row r="197" spans="1:10" ht="36" x14ac:dyDescent="0.2">
      <c r="A197" s="34" t="s">
        <v>572</v>
      </c>
      <c r="B197" s="34" t="s">
        <v>24</v>
      </c>
      <c r="C197" s="35" t="s">
        <v>573</v>
      </c>
      <c r="D197" s="36" t="s">
        <v>574</v>
      </c>
      <c r="E197" s="40" t="s">
        <v>16</v>
      </c>
      <c r="F197" s="37">
        <v>20.78</v>
      </c>
      <c r="G197" s="60">
        <v>6</v>
      </c>
      <c r="H197" s="60">
        <f t="shared" si="20"/>
        <v>27.203098000000001</v>
      </c>
      <c r="I197" s="39">
        <f t="shared" si="21"/>
        <v>163.21858800000001</v>
      </c>
      <c r="J197" s="30" t="s">
        <v>306</v>
      </c>
    </row>
    <row r="198" spans="1:10" ht="36" x14ac:dyDescent="0.2">
      <c r="A198" s="34" t="s">
        <v>575</v>
      </c>
      <c r="B198" s="34" t="s">
        <v>24</v>
      </c>
      <c r="C198" s="35" t="s">
        <v>576</v>
      </c>
      <c r="D198" s="36" t="s">
        <v>577</v>
      </c>
      <c r="E198" s="40" t="s">
        <v>16</v>
      </c>
      <c r="F198" s="37">
        <v>20.77</v>
      </c>
      <c r="G198" s="60">
        <v>4</v>
      </c>
      <c r="H198" s="60">
        <f t="shared" si="20"/>
        <v>27.190006999999998</v>
      </c>
      <c r="I198" s="39">
        <f t="shared" si="21"/>
        <v>108.76002799999999</v>
      </c>
      <c r="J198" s="30" t="s">
        <v>306</v>
      </c>
    </row>
    <row r="199" spans="1:10" ht="36" x14ac:dyDescent="0.2">
      <c r="A199" s="34" t="s">
        <v>578</v>
      </c>
      <c r="B199" s="34" t="s">
        <v>24</v>
      </c>
      <c r="C199" s="35" t="s">
        <v>579</v>
      </c>
      <c r="D199" s="36" t="s">
        <v>580</v>
      </c>
      <c r="E199" s="40" t="s">
        <v>16</v>
      </c>
      <c r="F199" s="37">
        <v>22.85</v>
      </c>
      <c r="G199" s="60">
        <v>1</v>
      </c>
      <c r="H199" s="60">
        <f t="shared" si="20"/>
        <v>29.912935000000001</v>
      </c>
      <c r="I199" s="39">
        <f t="shared" si="21"/>
        <v>29.912935000000001</v>
      </c>
      <c r="J199" s="30" t="s">
        <v>306</v>
      </c>
    </row>
    <row r="200" spans="1:10" ht="36" x14ac:dyDescent="0.2">
      <c r="A200" s="34" t="s">
        <v>581</v>
      </c>
      <c r="B200" s="34" t="s">
        <v>24</v>
      </c>
      <c r="C200" s="35" t="s">
        <v>582</v>
      </c>
      <c r="D200" s="36" t="s">
        <v>583</v>
      </c>
      <c r="E200" s="40" t="s">
        <v>16</v>
      </c>
      <c r="F200" s="37">
        <v>22.97</v>
      </c>
      <c r="G200" s="60">
        <f>6+3+5+2</f>
        <v>16</v>
      </c>
      <c r="H200" s="60">
        <f t="shared" si="20"/>
        <v>30.070026999999996</v>
      </c>
      <c r="I200" s="39">
        <f t="shared" si="21"/>
        <v>481.12043199999994</v>
      </c>
      <c r="J200" s="30" t="s">
        <v>306</v>
      </c>
    </row>
    <row r="201" spans="1:10" ht="36" x14ac:dyDescent="0.2">
      <c r="A201" s="34" t="s">
        <v>584</v>
      </c>
      <c r="B201" s="34" t="s">
        <v>24</v>
      </c>
      <c r="C201" s="35" t="s">
        <v>585</v>
      </c>
      <c r="D201" s="36" t="s">
        <v>586</v>
      </c>
      <c r="E201" s="40" t="s">
        <v>16</v>
      </c>
      <c r="F201" s="37">
        <v>23.12</v>
      </c>
      <c r="G201" s="60">
        <v>5</v>
      </c>
      <c r="H201" s="60">
        <f t="shared" si="20"/>
        <v>30.266392</v>
      </c>
      <c r="I201" s="39">
        <f t="shared" si="21"/>
        <v>151.33196000000001</v>
      </c>
      <c r="J201" s="30" t="s">
        <v>306</v>
      </c>
    </row>
    <row r="202" spans="1:10" ht="24" x14ac:dyDescent="0.2">
      <c r="A202" s="34" t="s">
        <v>587</v>
      </c>
      <c r="B202" s="34" t="s">
        <v>24</v>
      </c>
      <c r="C202" s="35" t="s">
        <v>588</v>
      </c>
      <c r="D202" s="36" t="s">
        <v>589</v>
      </c>
      <c r="E202" s="40" t="s">
        <v>16</v>
      </c>
      <c r="F202" s="37">
        <v>202.89</v>
      </c>
      <c r="G202" s="60">
        <v>5</v>
      </c>
      <c r="H202" s="60">
        <f t="shared" si="20"/>
        <v>265.60329899999999</v>
      </c>
      <c r="I202" s="39">
        <f t="shared" si="21"/>
        <v>1328.0164949999998</v>
      </c>
      <c r="J202" s="30" t="s">
        <v>306</v>
      </c>
    </row>
    <row r="203" spans="1:10" ht="12.75" x14ac:dyDescent="0.2">
      <c r="A203" s="34" t="s">
        <v>590</v>
      </c>
      <c r="B203" s="34" t="s">
        <v>24</v>
      </c>
      <c r="C203" s="35" t="s">
        <v>591</v>
      </c>
      <c r="D203" s="36" t="s">
        <v>592</v>
      </c>
      <c r="E203" s="40" t="s">
        <v>16</v>
      </c>
      <c r="F203" s="37">
        <v>772.43</v>
      </c>
      <c r="G203" s="60">
        <v>1</v>
      </c>
      <c r="H203" s="60">
        <f t="shared" si="20"/>
        <v>1011.1881129999999</v>
      </c>
      <c r="I203" s="39">
        <f t="shared" si="21"/>
        <v>1011.1881129999999</v>
      </c>
      <c r="J203" s="30" t="s">
        <v>306</v>
      </c>
    </row>
    <row r="204" spans="1:10" ht="72" x14ac:dyDescent="0.2">
      <c r="A204" s="34" t="s">
        <v>593</v>
      </c>
      <c r="B204" s="34" t="s">
        <v>24</v>
      </c>
      <c r="C204" s="35" t="s">
        <v>594</v>
      </c>
      <c r="D204" s="36" t="s">
        <v>595</v>
      </c>
      <c r="E204" s="40" t="s">
        <v>16</v>
      </c>
      <c r="F204" s="37">
        <v>361.11</v>
      </c>
      <c r="G204" s="60">
        <v>6</v>
      </c>
      <c r="H204" s="60">
        <f t="shared" si="20"/>
        <v>472.72910100000001</v>
      </c>
      <c r="I204" s="39">
        <f t="shared" si="21"/>
        <v>2836.3746060000003</v>
      </c>
      <c r="J204" s="30" t="s">
        <v>306</v>
      </c>
    </row>
    <row r="205" spans="1:10" ht="36" x14ac:dyDescent="0.2">
      <c r="A205" s="34" t="s">
        <v>596</v>
      </c>
      <c r="B205" s="34" t="s">
        <v>24</v>
      </c>
      <c r="C205" s="35" t="s">
        <v>597</v>
      </c>
      <c r="D205" s="36" t="s">
        <v>598</v>
      </c>
      <c r="E205" s="40" t="s">
        <v>16</v>
      </c>
      <c r="F205" s="37">
        <v>173.07</v>
      </c>
      <c r="G205" s="60">
        <v>7</v>
      </c>
      <c r="H205" s="60">
        <f t="shared" si="20"/>
        <v>226.56593699999999</v>
      </c>
      <c r="I205" s="39">
        <f t="shared" si="21"/>
        <v>1585.9615589999999</v>
      </c>
      <c r="J205" s="30" t="s">
        <v>306</v>
      </c>
    </row>
    <row r="206" spans="1:10" ht="36" x14ac:dyDescent="0.2">
      <c r="A206" s="34" t="s">
        <v>599</v>
      </c>
      <c r="B206" s="34" t="s">
        <v>24</v>
      </c>
      <c r="C206" s="35" t="s">
        <v>600</v>
      </c>
      <c r="D206" s="36" t="s">
        <v>601</v>
      </c>
      <c r="E206" s="40" t="s">
        <v>16</v>
      </c>
      <c r="F206" s="37">
        <v>110.49</v>
      </c>
      <c r="G206" s="60">
        <v>6</v>
      </c>
      <c r="H206" s="60">
        <f t="shared" si="20"/>
        <v>144.64245899999997</v>
      </c>
      <c r="I206" s="39">
        <f>G206*H206</f>
        <v>867.85475399999984</v>
      </c>
      <c r="J206" s="30" t="s">
        <v>306</v>
      </c>
    </row>
    <row r="207" spans="1:10" ht="36" x14ac:dyDescent="0.2">
      <c r="A207" s="34" t="s">
        <v>602</v>
      </c>
      <c r="B207" s="34" t="s">
        <v>24</v>
      </c>
      <c r="C207" s="35" t="s">
        <v>603</v>
      </c>
      <c r="D207" s="36" t="s">
        <v>604</v>
      </c>
      <c r="E207" s="40" t="s">
        <v>16</v>
      </c>
      <c r="F207" s="37">
        <v>468.77</v>
      </c>
      <c r="G207" s="60">
        <v>6</v>
      </c>
      <c r="H207" s="60">
        <f t="shared" si="20"/>
        <v>613.66680699999995</v>
      </c>
      <c r="I207" s="39">
        <f>G207*H207</f>
        <v>3682.0008419999995</v>
      </c>
      <c r="J207" s="30" t="s">
        <v>306</v>
      </c>
    </row>
    <row r="208" spans="1:10" ht="24" x14ac:dyDescent="0.2">
      <c r="A208" s="34" t="s">
        <v>605</v>
      </c>
      <c r="B208" s="34" t="s">
        <v>24</v>
      </c>
      <c r="C208" s="35" t="s">
        <v>606</v>
      </c>
      <c r="D208" s="36" t="s">
        <v>607</v>
      </c>
      <c r="E208" s="40" t="s">
        <v>16</v>
      </c>
      <c r="F208" s="37">
        <v>105.44</v>
      </c>
      <c r="G208" s="60">
        <v>6</v>
      </c>
      <c r="H208" s="60">
        <f t="shared" si="20"/>
        <v>138.03150399999998</v>
      </c>
      <c r="I208" s="39">
        <f t="shared" ref="I208:I217" si="22">G208*H208</f>
        <v>828.1890239999999</v>
      </c>
      <c r="J208" s="30" t="s">
        <v>306</v>
      </c>
    </row>
    <row r="209" spans="1:10" ht="24" x14ac:dyDescent="0.2">
      <c r="A209" s="34" t="s">
        <v>608</v>
      </c>
      <c r="B209" s="34" t="s">
        <v>24</v>
      </c>
      <c r="C209" s="35" t="s">
        <v>609</v>
      </c>
      <c r="D209" s="36" t="s">
        <v>610</v>
      </c>
      <c r="E209" s="40" t="s">
        <v>16</v>
      </c>
      <c r="F209" s="37">
        <v>15.49</v>
      </c>
      <c r="G209" s="60">
        <v>6</v>
      </c>
      <c r="H209" s="60">
        <f t="shared" si="20"/>
        <v>20.277958999999999</v>
      </c>
      <c r="I209" s="39">
        <f t="shared" si="22"/>
        <v>121.667754</v>
      </c>
      <c r="J209" s="30" t="s">
        <v>306</v>
      </c>
    </row>
    <row r="210" spans="1:10" ht="24" x14ac:dyDescent="0.2">
      <c r="A210" s="34" t="s">
        <v>611</v>
      </c>
      <c r="B210" s="34" t="s">
        <v>24</v>
      </c>
      <c r="C210" s="35" t="s">
        <v>612</v>
      </c>
      <c r="D210" s="36" t="s">
        <v>613</v>
      </c>
      <c r="E210" s="40" t="s">
        <v>16</v>
      </c>
      <c r="F210" s="37">
        <v>1455.62</v>
      </c>
      <c r="G210" s="60">
        <v>1</v>
      </c>
      <c r="H210" s="60">
        <f t="shared" si="20"/>
        <v>1905.5521419999998</v>
      </c>
      <c r="I210" s="39">
        <f t="shared" si="22"/>
        <v>1905.5521419999998</v>
      </c>
      <c r="J210" s="30" t="s">
        <v>306</v>
      </c>
    </row>
    <row r="211" spans="1:10" ht="12.75" x14ac:dyDescent="0.2">
      <c r="A211" s="34" t="s">
        <v>614</v>
      </c>
      <c r="B211" s="34" t="s">
        <v>24</v>
      </c>
      <c r="C211" s="35" t="s">
        <v>615</v>
      </c>
      <c r="D211" s="36" t="s">
        <v>616</v>
      </c>
      <c r="E211" s="40" t="s">
        <v>16</v>
      </c>
      <c r="F211" s="37">
        <v>257.35000000000002</v>
      </c>
      <c r="G211" s="60">
        <v>1</v>
      </c>
      <c r="H211" s="60">
        <f t="shared" si="20"/>
        <v>336.896885</v>
      </c>
      <c r="I211" s="39">
        <f t="shared" si="22"/>
        <v>336.896885</v>
      </c>
      <c r="J211" s="30" t="s">
        <v>306</v>
      </c>
    </row>
    <row r="212" spans="1:10" ht="36" x14ac:dyDescent="0.2">
      <c r="A212" s="34" t="s">
        <v>617</v>
      </c>
      <c r="B212" s="34" t="s">
        <v>24</v>
      </c>
      <c r="C212" s="35" t="s">
        <v>618</v>
      </c>
      <c r="D212" s="36" t="s">
        <v>619</v>
      </c>
      <c r="E212" s="40" t="s">
        <v>16</v>
      </c>
      <c r="F212" s="37">
        <v>582.37</v>
      </c>
      <c r="G212" s="60">
        <v>1</v>
      </c>
      <c r="H212" s="60">
        <f t="shared" si="20"/>
        <v>762.38056699999993</v>
      </c>
      <c r="I212" s="39">
        <f t="shared" si="22"/>
        <v>762.38056699999993</v>
      </c>
      <c r="J212" s="30" t="s">
        <v>306</v>
      </c>
    </row>
    <row r="213" spans="1:10" ht="36" x14ac:dyDescent="0.2">
      <c r="A213" s="34" t="s">
        <v>620</v>
      </c>
      <c r="B213" s="34" t="s">
        <v>24</v>
      </c>
      <c r="C213" s="35" t="s">
        <v>621</v>
      </c>
      <c r="D213" s="36" t="s">
        <v>622</v>
      </c>
      <c r="E213" s="40" t="s">
        <v>16</v>
      </c>
      <c r="F213" s="37">
        <v>360.1</v>
      </c>
      <c r="G213" s="60">
        <v>1</v>
      </c>
      <c r="H213" s="60">
        <f t="shared" si="20"/>
        <v>471.40690999999998</v>
      </c>
      <c r="I213" s="39">
        <f t="shared" si="22"/>
        <v>471.40690999999998</v>
      </c>
      <c r="J213" s="30" t="s">
        <v>306</v>
      </c>
    </row>
    <row r="214" spans="1:10" ht="24" x14ac:dyDescent="0.2">
      <c r="A214" s="34" t="s">
        <v>623</v>
      </c>
      <c r="B214" s="34" t="s">
        <v>24</v>
      </c>
      <c r="C214" s="35" t="s">
        <v>624</v>
      </c>
      <c r="D214" s="36" t="s">
        <v>625</v>
      </c>
      <c r="E214" s="40" t="s">
        <v>16</v>
      </c>
      <c r="F214" s="37">
        <v>441.26</v>
      </c>
      <c r="G214" s="60">
        <v>2</v>
      </c>
      <c r="H214" s="60">
        <f t="shared" si="20"/>
        <v>577.65346599999998</v>
      </c>
      <c r="I214" s="39">
        <f t="shared" si="22"/>
        <v>1155.306932</v>
      </c>
      <c r="J214" s="30" t="s">
        <v>306</v>
      </c>
    </row>
    <row r="215" spans="1:10" ht="36" x14ac:dyDescent="0.2">
      <c r="A215" s="34" t="s">
        <v>626</v>
      </c>
      <c r="B215" s="34" t="s">
        <v>24</v>
      </c>
      <c r="C215" s="35" t="s">
        <v>627</v>
      </c>
      <c r="D215" s="36" t="s">
        <v>628</v>
      </c>
      <c r="E215" s="35" t="s">
        <v>43</v>
      </c>
      <c r="F215" s="37">
        <v>180.64</v>
      </c>
      <c r="G215" s="60">
        <v>81</v>
      </c>
      <c r="H215" s="60">
        <f t="shared" si="20"/>
        <v>236.47582399999996</v>
      </c>
      <c r="I215" s="39">
        <f t="shared" si="22"/>
        <v>19154.541743999998</v>
      </c>
      <c r="J215" s="30" t="s">
        <v>306</v>
      </c>
    </row>
    <row r="216" spans="1:10" ht="36" x14ac:dyDescent="0.2">
      <c r="A216" s="34" t="s">
        <v>629</v>
      </c>
      <c r="B216" s="34" t="s">
        <v>46</v>
      </c>
      <c r="C216" s="41" t="s">
        <v>630</v>
      </c>
      <c r="D216" s="42" t="s">
        <v>631</v>
      </c>
      <c r="E216" s="40" t="s">
        <v>16</v>
      </c>
      <c r="F216" s="75" t="s">
        <v>632</v>
      </c>
      <c r="G216" s="60">
        <v>2</v>
      </c>
      <c r="H216" s="60">
        <f t="shared" si="20"/>
        <v>4279.7359019999994</v>
      </c>
      <c r="I216" s="39">
        <f t="shared" si="22"/>
        <v>8559.4718039999989</v>
      </c>
      <c r="J216" s="30" t="s">
        <v>306</v>
      </c>
    </row>
    <row r="217" spans="1:10" ht="36" x14ac:dyDescent="0.2">
      <c r="A217" s="34" t="s">
        <v>633</v>
      </c>
      <c r="B217" s="34" t="s">
        <v>46</v>
      </c>
      <c r="C217" s="41" t="s">
        <v>634</v>
      </c>
      <c r="D217" s="42" t="s">
        <v>635</v>
      </c>
      <c r="E217" s="40" t="s">
        <v>16</v>
      </c>
      <c r="F217" s="75" t="s">
        <v>636</v>
      </c>
      <c r="G217" s="60">
        <v>1</v>
      </c>
      <c r="H217" s="60">
        <f t="shared" si="20"/>
        <v>1639.4121119999998</v>
      </c>
      <c r="I217" s="39">
        <f t="shared" si="22"/>
        <v>1639.4121119999998</v>
      </c>
      <c r="J217" s="30" t="s">
        <v>306</v>
      </c>
    </row>
    <row r="218" spans="1:10" ht="12.75" x14ac:dyDescent="0.2">
      <c r="A218" s="34"/>
      <c r="B218" s="34"/>
      <c r="C218" s="35"/>
      <c r="D218" s="45" t="s">
        <v>52</v>
      </c>
      <c r="E218" s="74"/>
      <c r="F218" s="60"/>
      <c r="G218" s="60"/>
      <c r="H218" s="60"/>
      <c r="I218" s="70">
        <f>SUM(I194:I217)</f>
        <v>51546.061228999992</v>
      </c>
      <c r="J218" s="30"/>
    </row>
    <row r="219" spans="1:10" ht="12.75" x14ac:dyDescent="0.2">
      <c r="A219" s="31">
        <v>16</v>
      </c>
      <c r="B219" s="31"/>
      <c r="C219" s="55"/>
      <c r="D219" s="48" t="s">
        <v>637</v>
      </c>
      <c r="E219" s="49"/>
      <c r="F219" s="50"/>
      <c r="G219" s="50"/>
      <c r="H219" s="50"/>
      <c r="I219" s="50"/>
      <c r="J219" s="30"/>
    </row>
    <row r="220" spans="1:10" ht="12.75" x14ac:dyDescent="0.2">
      <c r="A220" s="34" t="s">
        <v>638</v>
      </c>
      <c r="B220" s="34" t="s">
        <v>24</v>
      </c>
      <c r="C220" s="35" t="s">
        <v>639</v>
      </c>
      <c r="D220" s="36" t="s">
        <v>640</v>
      </c>
      <c r="E220" s="35" t="s">
        <v>27</v>
      </c>
      <c r="F220" s="37">
        <v>6.46</v>
      </c>
      <c r="G220" s="60">
        <v>701.48</v>
      </c>
      <c r="H220" s="60">
        <f>F220*(1+$H$8)</f>
        <v>8.4567859999999992</v>
      </c>
      <c r="I220" s="39">
        <f t="shared" ref="I220" si="23">G220*H220</f>
        <v>5932.2662432799998</v>
      </c>
      <c r="J220" s="30"/>
    </row>
    <row r="221" spans="1:10" ht="12.75" x14ac:dyDescent="0.2">
      <c r="A221" s="34"/>
      <c r="B221" s="34"/>
      <c r="C221" s="35"/>
      <c r="D221" s="45" t="s">
        <v>52</v>
      </c>
      <c r="E221" s="74"/>
      <c r="F221" s="60"/>
      <c r="G221" s="60"/>
      <c r="H221" s="60"/>
      <c r="I221" s="70">
        <f>SUM(I220:I220)</f>
        <v>5932.2662432799998</v>
      </c>
      <c r="J221" s="30"/>
    </row>
    <row r="222" spans="1:10" ht="12.75" x14ac:dyDescent="0.2">
      <c r="A222" s="34"/>
      <c r="B222" s="34"/>
      <c r="C222" s="34"/>
      <c r="D222" s="45"/>
      <c r="E222" s="74"/>
      <c r="F222" s="60"/>
      <c r="G222" s="60"/>
      <c r="H222" s="60"/>
      <c r="I222" s="70"/>
      <c r="J222" s="30"/>
    </row>
    <row r="223" spans="1:10" ht="22.5" customHeight="1" x14ac:dyDescent="0.25">
      <c r="A223" s="76"/>
      <c r="B223" s="76"/>
      <c r="C223" s="76"/>
      <c r="D223" s="90" t="s">
        <v>641</v>
      </c>
      <c r="E223" s="90"/>
      <c r="F223" s="90"/>
      <c r="G223" s="90"/>
      <c r="H223" s="90"/>
      <c r="I223" s="77">
        <f>SUM(I10:I222)/2</f>
        <v>935962.43916311476</v>
      </c>
      <c r="J223" s="30"/>
    </row>
    <row r="224" spans="1:10" ht="12.75" x14ac:dyDescent="0.2">
      <c r="A224" s="78"/>
      <c r="B224" s="78"/>
      <c r="C224" s="78"/>
      <c r="D224" s="79"/>
      <c r="E224" s="78"/>
      <c r="F224" s="78"/>
      <c r="G224" s="80"/>
      <c r="H224" s="80"/>
      <c r="I224" s="80"/>
      <c r="J224" s="81"/>
    </row>
  </sheetData>
  <mergeCells count="3">
    <mergeCell ref="A1:J1"/>
    <mergeCell ref="H4:I4"/>
    <mergeCell ref="D223:H223"/>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Contass</dc:creator>
  <cp:lastModifiedBy>Contass</cp:lastModifiedBy>
  <cp:lastPrinted>2023-11-20T15:22:46Z</cp:lastPrinted>
  <dcterms:created xsi:type="dcterms:W3CDTF">2023-11-20T15:20:58Z</dcterms:created>
  <dcterms:modified xsi:type="dcterms:W3CDTF">2023-11-21T20:08:30Z</dcterms:modified>
</cp:coreProperties>
</file>